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0" yWindow="0" windowWidth="23430" windowHeight="12360"/>
  </bookViews>
  <sheets>
    <sheet name="PROJECT PARAMETERS" sheetId="1" r:id="rId1"/>
    <sheet name="PROJECT DETAILS" sheetId="2" r:id="rId2"/>
    <sheet name="PROJECT TOTALS" sheetId="3" r:id="rId3"/>
  </sheets>
  <definedNames>
    <definedName name="_xlnm.Print_Titles" localSheetId="1">'PROJECT DETAILS'!$6:$6</definedName>
    <definedName name="_xlnm.Print_Titles" localSheetId="2">'PROJECT TOTALS'!$6:$6</definedName>
    <definedName name="ProjectType">tblParameters[PROJECT TYPE]</definedName>
  </definedNames>
  <calcPr calcId="152511"/>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 l="1"/>
  <c r="B3" i="3"/>
  <c r="B2" i="3" l="1"/>
  <c r="K10" i="2"/>
  <c r="K14" i="2"/>
  <c r="K18" i="2"/>
  <c r="K22" i="2"/>
  <c r="K26" i="2"/>
  <c r="W7" i="2"/>
  <c r="W8" i="2"/>
  <c r="W9" i="2"/>
  <c r="W10" i="2"/>
  <c r="W11" i="2"/>
  <c r="W12" i="2"/>
  <c r="W13" i="2"/>
  <c r="W14" i="2"/>
  <c r="W15" i="2"/>
  <c r="W16" i="2"/>
  <c r="W17" i="2"/>
  <c r="W18" i="2"/>
  <c r="W19" i="2"/>
  <c r="W20" i="2"/>
  <c r="W21" i="2"/>
  <c r="W22" i="2"/>
  <c r="W23" i="2"/>
  <c r="W24" i="2"/>
  <c r="W25" i="2"/>
  <c r="W26" i="2"/>
  <c r="W27" i="2"/>
  <c r="W28" i="2"/>
  <c r="V7" i="2"/>
  <c r="V8" i="2"/>
  <c r="V9" i="2"/>
  <c r="V10" i="2"/>
  <c r="V11" i="2"/>
  <c r="V12" i="2"/>
  <c r="V13" i="2"/>
  <c r="V14" i="2"/>
  <c r="V15" i="2"/>
  <c r="V16" i="2"/>
  <c r="V17" i="2"/>
  <c r="V18" i="2"/>
  <c r="V19" i="2"/>
  <c r="V20" i="2"/>
  <c r="V21" i="2"/>
  <c r="V22" i="2"/>
  <c r="V23" i="2"/>
  <c r="V24" i="2"/>
  <c r="V25" i="2"/>
  <c r="V26" i="2"/>
  <c r="V27" i="2"/>
  <c r="V28" i="2"/>
  <c r="U7" i="2"/>
  <c r="U8" i="2"/>
  <c r="U9" i="2"/>
  <c r="U10" i="2"/>
  <c r="U11" i="2"/>
  <c r="U12" i="2"/>
  <c r="U13" i="2"/>
  <c r="U14" i="2"/>
  <c r="U15" i="2"/>
  <c r="U16" i="2"/>
  <c r="U17" i="2"/>
  <c r="U18" i="2"/>
  <c r="U19" i="2"/>
  <c r="U20" i="2"/>
  <c r="U21" i="2"/>
  <c r="U22" i="2"/>
  <c r="U23" i="2"/>
  <c r="U24" i="2"/>
  <c r="U25" i="2"/>
  <c r="U26" i="2"/>
  <c r="U27" i="2"/>
  <c r="U28" i="2"/>
  <c r="T7" i="2"/>
  <c r="T8" i="2"/>
  <c r="T9" i="2"/>
  <c r="T10" i="2"/>
  <c r="T11" i="2"/>
  <c r="T12" i="2"/>
  <c r="T13" i="2"/>
  <c r="T14" i="2"/>
  <c r="T15" i="2"/>
  <c r="T16" i="2"/>
  <c r="T17" i="2"/>
  <c r="T18" i="2"/>
  <c r="T19" i="2"/>
  <c r="T20" i="2"/>
  <c r="T21" i="2"/>
  <c r="T22" i="2"/>
  <c r="T23" i="2"/>
  <c r="T24" i="2"/>
  <c r="T25" i="2"/>
  <c r="T26" i="2"/>
  <c r="T27" i="2"/>
  <c r="T28" i="2"/>
  <c r="S7" i="2"/>
  <c r="S8" i="2"/>
  <c r="S9" i="2"/>
  <c r="S10" i="2"/>
  <c r="S11" i="2"/>
  <c r="S12" i="2"/>
  <c r="S13" i="2"/>
  <c r="S14" i="2"/>
  <c r="S15" i="2"/>
  <c r="S16" i="2"/>
  <c r="S17" i="2"/>
  <c r="S18" i="2"/>
  <c r="S19" i="2"/>
  <c r="S20" i="2"/>
  <c r="S21" i="2"/>
  <c r="S22" i="2"/>
  <c r="S23" i="2"/>
  <c r="S24" i="2"/>
  <c r="S25" i="2"/>
  <c r="S26" i="2"/>
  <c r="S27" i="2"/>
  <c r="S28" i="2"/>
  <c r="R7" i="2"/>
  <c r="R8" i="2"/>
  <c r="R9" i="2"/>
  <c r="R10" i="2"/>
  <c r="R11" i="2"/>
  <c r="R12" i="2"/>
  <c r="R13" i="2"/>
  <c r="R14" i="2"/>
  <c r="R15" i="2"/>
  <c r="R16" i="2"/>
  <c r="R17" i="2"/>
  <c r="R18" i="2"/>
  <c r="R19" i="2"/>
  <c r="R20" i="2"/>
  <c r="R21" i="2"/>
  <c r="R22" i="2"/>
  <c r="R23" i="2"/>
  <c r="R24" i="2"/>
  <c r="R25" i="2"/>
  <c r="R26" i="2"/>
  <c r="R27" i="2"/>
  <c r="R28" i="2"/>
  <c r="Q7" i="2"/>
  <c r="Q8" i="2"/>
  <c r="Q9" i="2"/>
  <c r="Q10" i="2"/>
  <c r="Q11" i="2"/>
  <c r="Q12" i="2"/>
  <c r="Q13" i="2"/>
  <c r="Q14" i="2"/>
  <c r="Q15" i="2"/>
  <c r="Q16" i="2"/>
  <c r="Q17" i="2"/>
  <c r="Q18" i="2"/>
  <c r="Q19" i="2"/>
  <c r="Q20" i="2"/>
  <c r="Q21" i="2"/>
  <c r="Q22" i="2"/>
  <c r="Q23" i="2"/>
  <c r="Q24" i="2"/>
  <c r="Q25" i="2"/>
  <c r="Q26" i="2"/>
  <c r="Q27" i="2"/>
  <c r="Q28" i="2"/>
  <c r="P7" i="2"/>
  <c r="P8" i="2"/>
  <c r="P9" i="2"/>
  <c r="P10" i="2"/>
  <c r="P11" i="2"/>
  <c r="P12" i="2"/>
  <c r="P13" i="2"/>
  <c r="P14" i="2"/>
  <c r="P15" i="2"/>
  <c r="P16" i="2"/>
  <c r="P17" i="2"/>
  <c r="P18" i="2"/>
  <c r="P19" i="2"/>
  <c r="P20" i="2"/>
  <c r="P21" i="2"/>
  <c r="P22" i="2"/>
  <c r="P23" i="2"/>
  <c r="P24" i="2"/>
  <c r="P25" i="2"/>
  <c r="P26" i="2"/>
  <c r="P27" i="2"/>
  <c r="P28" i="2"/>
  <c r="O7" i="2"/>
  <c r="O8" i="2"/>
  <c r="O9" i="2"/>
  <c r="O10" i="2"/>
  <c r="O11" i="2"/>
  <c r="O12" i="2"/>
  <c r="O13" i="2"/>
  <c r="O14" i="2"/>
  <c r="O15" i="2"/>
  <c r="O16" i="2"/>
  <c r="O17" i="2"/>
  <c r="O18" i="2"/>
  <c r="O19" i="2"/>
  <c r="O20" i="2"/>
  <c r="O21" i="2"/>
  <c r="O22" i="2"/>
  <c r="O23" i="2"/>
  <c r="O24" i="2"/>
  <c r="O25" i="2"/>
  <c r="O26" i="2"/>
  <c r="O27" i="2"/>
  <c r="O28" i="2"/>
  <c r="N7" i="2"/>
  <c r="N8" i="2"/>
  <c r="N9" i="2"/>
  <c r="N10" i="2"/>
  <c r="N11" i="2"/>
  <c r="N12" i="2"/>
  <c r="N13" i="2"/>
  <c r="N14" i="2"/>
  <c r="N15" i="2"/>
  <c r="N16" i="2"/>
  <c r="N17" i="2"/>
  <c r="N18" i="2"/>
  <c r="N19" i="2"/>
  <c r="N20" i="2"/>
  <c r="N21" i="2"/>
  <c r="N22" i="2"/>
  <c r="N23" i="2"/>
  <c r="N24" i="2"/>
  <c r="N25" i="2"/>
  <c r="N26" i="2"/>
  <c r="N27" i="2"/>
  <c r="N28" i="2"/>
  <c r="M7" i="2"/>
  <c r="M8" i="2"/>
  <c r="M9" i="2"/>
  <c r="M10" i="2"/>
  <c r="M11" i="2"/>
  <c r="M12" i="2"/>
  <c r="M13" i="2"/>
  <c r="M14" i="2"/>
  <c r="M15" i="2"/>
  <c r="M16" i="2"/>
  <c r="M17" i="2"/>
  <c r="M18" i="2"/>
  <c r="M19" i="2"/>
  <c r="M20" i="2"/>
  <c r="M21" i="2"/>
  <c r="M22" i="2"/>
  <c r="M23" i="2"/>
  <c r="M24" i="2"/>
  <c r="M25" i="2"/>
  <c r="M26" i="2"/>
  <c r="M27" i="2"/>
  <c r="M28" i="2"/>
  <c r="L7" i="2"/>
  <c r="L8" i="2"/>
  <c r="L9" i="2"/>
  <c r="L10" i="2"/>
  <c r="L11" i="2"/>
  <c r="L12" i="2"/>
  <c r="L13" i="2"/>
  <c r="L14" i="2"/>
  <c r="L15" i="2"/>
  <c r="L16" i="2"/>
  <c r="L17" i="2"/>
  <c r="L18" i="2"/>
  <c r="L19" i="2"/>
  <c r="L20" i="2"/>
  <c r="L21" i="2"/>
  <c r="L22" i="2"/>
  <c r="L23" i="2"/>
  <c r="L24" i="2"/>
  <c r="L25" i="2"/>
  <c r="L26" i="2"/>
  <c r="L27" i="2"/>
  <c r="L28" i="2"/>
  <c r="B2" i="2"/>
  <c r="K7" i="2"/>
  <c r="K8" i="2"/>
  <c r="K9" i="2"/>
  <c r="K11" i="2"/>
  <c r="K12" i="2"/>
  <c r="K13" i="2"/>
  <c r="K15" i="2"/>
  <c r="K16" i="2"/>
  <c r="K17" i="2"/>
  <c r="K19" i="2"/>
  <c r="K20" i="2"/>
  <c r="K21" i="2"/>
  <c r="K23" i="2"/>
  <c r="K24" i="2"/>
  <c r="K25" i="2"/>
  <c r="K27" i="2"/>
  <c r="K28" i="2"/>
  <c r="J7" i="2"/>
  <c r="J8" i="2"/>
  <c r="J9" i="2"/>
  <c r="J10" i="2"/>
  <c r="J11" i="2"/>
  <c r="J12" i="2"/>
  <c r="J13" i="2"/>
  <c r="J14" i="2"/>
  <c r="J15" i="2"/>
  <c r="J16" i="2"/>
  <c r="J17" i="2"/>
  <c r="J18" i="2"/>
  <c r="J19" i="2"/>
  <c r="J20" i="2"/>
  <c r="J21" i="2"/>
  <c r="J22" i="2"/>
  <c r="J23" i="2"/>
  <c r="J24" i="2"/>
  <c r="J25" i="2"/>
  <c r="J26" i="2"/>
  <c r="J27" i="2"/>
  <c r="J28" i="2"/>
  <c r="I29" i="2"/>
  <c r="H29" i="2"/>
  <c r="I8" i="1"/>
  <c r="I9" i="1"/>
  <c r="I10" i="1"/>
  <c r="I11" i="1"/>
  <c r="I12" i="1"/>
  <c r="I13" i="1"/>
  <c r="H19" i="1" l="1"/>
  <c r="H21" i="1" s="1"/>
  <c r="F19" i="1"/>
  <c r="F21" i="1" s="1"/>
  <c r="G19" i="1"/>
  <c r="G21" i="1" s="1"/>
  <c r="D19" i="1"/>
  <c r="D21" i="1" s="1"/>
  <c r="E19" i="1"/>
  <c r="E21" i="1" s="1"/>
  <c r="F18" i="1"/>
  <c r="F20" i="1" s="1"/>
  <c r="E18" i="1"/>
  <c r="E20" i="1" s="1"/>
  <c r="C19" i="1"/>
  <c r="C21" i="1" s="1"/>
  <c r="D18" i="1"/>
  <c r="D20" i="1" s="1"/>
  <c r="H18" i="1"/>
  <c r="H20" i="1" s="1"/>
  <c r="C18" i="1"/>
  <c r="C20" i="1" s="1"/>
  <c r="G18" i="1"/>
  <c r="G20" i="1" s="1"/>
  <c r="J29" i="2"/>
  <c r="K29" i="2"/>
</calcChain>
</file>

<file path=xl/sharedStrings.xml><?xml version="1.0" encoding="utf-8"?>
<sst xmlns="http://schemas.openxmlformats.org/spreadsheetml/2006/main" count="138" uniqueCount="80">
  <si>
    <t>[Company Name]</t>
  </si>
  <si>
    <t>Company Confidential</t>
  </si>
  <si>
    <t>Shaded cells are calculated for you. You do not need to enter anything into them.</t>
  </si>
  <si>
    <t>Blended rates</t>
  </si>
  <si>
    <t>A. Datum Corporation</t>
  </si>
  <si>
    <t>Adventure Works</t>
  </si>
  <si>
    <t>Alpine Ski House</t>
  </si>
  <si>
    <t>Baldwin Museum of Science</t>
  </si>
  <si>
    <t>Blue Yonder Airlines</t>
  </si>
  <si>
    <t>City Power &amp; Light</t>
  </si>
  <si>
    <t>Coho Vineyard</t>
  </si>
  <si>
    <t>Coho Winery</t>
  </si>
  <si>
    <t>Coho Vineyard &amp; Winery</t>
  </si>
  <si>
    <t>Contoso, Ltd.</t>
  </si>
  <si>
    <t>Contoso Pharmaceuticals</t>
  </si>
  <si>
    <t>Consolidated Messenger</t>
  </si>
  <si>
    <t>Fabrikam, Inc.</t>
  </si>
  <si>
    <t>Fourth Coffee</t>
  </si>
  <si>
    <t>Graphic Design Institute</t>
  </si>
  <si>
    <t>Humongous Insurance</t>
  </si>
  <si>
    <t>Litware, Inc.</t>
  </si>
  <si>
    <t>Lucerne Publishing</t>
  </si>
  <si>
    <t>Margie's Travel</t>
  </si>
  <si>
    <t>Northwind Traders</t>
  </si>
  <si>
    <t>Proseware, Inc.</t>
  </si>
  <si>
    <t>School of Fine Art</t>
  </si>
  <si>
    <t>TOTAL</t>
  </si>
  <si>
    <t>ACTUAL START</t>
  </si>
  <si>
    <t>ACTUAL FINISH</t>
  </si>
  <si>
    <t>PROJECT NAME</t>
  </si>
  <si>
    <t>PROJECT TYPE</t>
  </si>
  <si>
    <t>ESTIMATED START</t>
  </si>
  <si>
    <t>ESTIMATED FINISH</t>
  </si>
  <si>
    <t>ESTIMATED WORK</t>
  </si>
  <si>
    <t>ESTIMATED DURATION</t>
  </si>
  <si>
    <t>ACTUAL WORK</t>
  </si>
  <si>
    <t>ACTUAL DURATION</t>
  </si>
  <si>
    <t>Grand Total</t>
  </si>
  <si>
    <t>ADMIN STAFF</t>
  </si>
  <si>
    <t>PLANNING</t>
  </si>
  <si>
    <t>ACTUALS</t>
  </si>
  <si>
    <t xml:space="preserve">ADMIN STAFF </t>
  </si>
  <si>
    <t>PLANNED COST</t>
  </si>
  <si>
    <t>PLANNED HOURS</t>
  </si>
  <si>
    <t>ACTUAL COST</t>
  </si>
  <si>
    <t>ACTUAL HOURS</t>
  </si>
  <si>
    <t>GENERAL PARTNER</t>
  </si>
  <si>
    <t>BUSINESS LAWYER</t>
  </si>
  <si>
    <t>DEFENSE LITIGATOR</t>
  </si>
  <si>
    <t>INTELLECTUAL PROPERTY LAWYER</t>
  </si>
  <si>
    <t>BANKRUPTCY LAWYER</t>
  </si>
  <si>
    <t>Business Incorporation</t>
  </si>
  <si>
    <t>Business Acquisition</t>
  </si>
  <si>
    <t>Product Liability Defense</t>
  </si>
  <si>
    <t>Patent Application</t>
  </si>
  <si>
    <t>Employee Lawsuit</t>
  </si>
  <si>
    <t>Bankruptcy</t>
  </si>
  <si>
    <t xml:space="preserve">GENERAL PARTNER </t>
  </si>
  <si>
    <t xml:space="preserve">DEFENSE LITIGATOR </t>
  </si>
  <si>
    <t>GENERAL PARTNER 2</t>
  </si>
  <si>
    <t>BUSINESS LAWYER 2</t>
  </si>
  <si>
    <t>DEFENSE LITIGATOR 2</t>
  </si>
  <si>
    <t>BANKRUPTCY LAWYER 2</t>
  </si>
  <si>
    <t>ADMIN STAFF 2</t>
  </si>
  <si>
    <t xml:space="preserve">GENERAL PARTNER  </t>
  </si>
  <si>
    <t xml:space="preserve">DEFENSE LITIGATOR  </t>
  </si>
  <si>
    <t xml:space="preserve">INTELLECTUAL PROPERTY  </t>
  </si>
  <si>
    <t>INTELLECTUAL PROPERTY LAWYER 2</t>
  </si>
  <si>
    <t xml:space="preserve">INTELLECTUAL PROPERTY </t>
  </si>
  <si>
    <t xml:space="preserve">BANKRUPTCY </t>
  </si>
  <si>
    <t xml:space="preserve">BUSINESS </t>
  </si>
  <si>
    <t xml:space="preserve">BUSINESS    </t>
  </si>
  <si>
    <t xml:space="preserve">BANKRUPTCY  </t>
  </si>
  <si>
    <t xml:space="preserve">ADMIN STAFF  </t>
  </si>
  <si>
    <t>ESTIMATED</t>
  </si>
  <si>
    <t>ACTUAL</t>
  </si>
  <si>
    <t>Project Planning for Law Firms</t>
  </si>
  <si>
    <t>BUSINESS</t>
  </si>
  <si>
    <t>INTELLECTUAL PROP.</t>
  </si>
  <si>
    <t>BANKRUPTCY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</si>
</sst>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14" x14ac:knownFonts="1">
    <font>
      <sz val="10"/>
      <color theme="1" tint="0.24994659260841701"/>
      <name val="Cambria"/>
      <family val="2"/>
      <scheme val="minor"/>
    </font>
    <font>
      <sz val="11"/>
      <color theme="1"/>
      <name val="Cambria"/>
      <family val="1"/>
      <scheme val="minor"/>
    </font>
    <font>
      <sz val="20"/>
      <color theme="1" tint="0.24994659260841701"/>
      <name val="Tahoma"/>
      <family val="2"/>
      <scheme val="major"/>
    </font>
    <font>
      <sz val="16"/>
      <color theme="1" tint="0.34998626667073579"/>
      <name val="Tahoma"/>
      <family val="2"/>
      <scheme val="major"/>
    </font>
    <font>
      <sz val="12"/>
      <color theme="1" tint="0.24994659260841701"/>
      <name val="Tahoma"/>
      <family val="2"/>
      <scheme val="major"/>
    </font>
    <font>
      <sz val="11"/>
      <color theme="1"/>
      <name val="Cambria"/>
      <family val="1"/>
      <scheme val="minor"/>
    </font>
    <font>
      <i/>
      <sz val="10"/>
      <color theme="1"/>
      <name val="Tahoma"/>
      <family val="2"/>
      <scheme val="major"/>
    </font>
    <font>
      <sz val="10"/>
      <color theme="1"/>
      <name val="Tahoma"/>
      <family val="2"/>
      <scheme val="major"/>
    </font>
    <font>
      <sz val="10"/>
      <color theme="1"/>
      <name val="Tahoma"/>
      <family val="2"/>
      <scheme val="major"/>
    </font>
    <font>
      <sz val="11"/>
      <color theme="0"/>
      <name val="Cambria"/>
      <family val="1"/>
      <scheme val="minor"/>
    </font>
    <font>
      <sz val="11"/>
      <color theme="1" tint="0.14999847407452621"/>
      <name val="Cambria"/>
      <family val="1"/>
      <scheme val="minor"/>
    </font>
    <font>
      <b/>
      <sz val="11"/>
      <color theme="3"/>
      <name val="Cambria"/>
      <family val="2"/>
      <scheme val="minor"/>
    </font>
    <font>
      <sz val="10"/>
      <color theme="1" tint="0.24994659260841701"/>
      <name val="Cambria"/>
      <family val="1"/>
      <charset val="162"/>
      <scheme val="minor"/>
    </font>
    <font>
      <sz val="11"/>
      <name val="Cambria"/>
      <family val="1"/>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right/>
      <top/>
      <bottom style="thin">
        <color theme="4" tint="-0.499984740745262"/>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s>
  <cellStyleXfs count="5">
    <xf numFmtId="0" fontId="0" fillId="0" borderId="0"/>
    <xf numFmtId="0" fontId="2" fillId="0" borderId="1"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11" fillId="0" borderId="0" applyNumberFormat="0" applyFill="0" applyBorder="0" applyAlignment="0" applyProtection="0"/>
  </cellStyleXfs>
  <cellXfs count="28">
    <xf numFmtId="0" fontId="0" fillId="0" borderId="0" xfId="0"/>
    <xf numFmtId="0" fontId="1" fillId="0" borderId="0" xfId="0" applyFont="1"/>
    <xf numFmtId="0" fontId="2" fillId="0" borderId="1" xfId="1"/>
    <xf numFmtId="0" fontId="3" fillId="0" borderId="0" xfId="2"/>
    <xf numFmtId="0" fontId="4" fillId="0" borderId="0" xfId="3"/>
    <xf numFmtId="0" fontId="5" fillId="0" borderId="0" xfId="0" applyFont="1"/>
    <xf numFmtId="9" fontId="5" fillId="0" borderId="0" xfId="0" applyNumberFormat="1" applyFont="1"/>
    <xf numFmtId="164" fontId="5" fillId="0" borderId="0" xfId="0" applyNumberFormat="1" applyFont="1"/>
    <xf numFmtId="9" fontId="5" fillId="2" borderId="0" xfId="0" applyNumberFormat="1" applyFont="1" applyFill="1"/>
    <xf numFmtId="0" fontId="6" fillId="0" borderId="0" xfId="0" applyFont="1"/>
    <xf numFmtId="0" fontId="7" fillId="0" borderId="0" xfId="0" applyFont="1" applyAlignment="1">
      <alignment wrapText="1"/>
    </xf>
    <xf numFmtId="14" fontId="0" fillId="0" borderId="0" xfId="0" applyNumberFormat="1"/>
    <xf numFmtId="0" fontId="8" fillId="0" borderId="0" xfId="0" applyFont="1" applyAlignment="1">
      <alignment wrapText="1"/>
    </xf>
    <xf numFmtId="164" fontId="0" fillId="0" borderId="0" xfId="0" applyNumberFormat="1" applyFill="1"/>
    <xf numFmtId="165" fontId="0" fillId="0" borderId="0" xfId="0" applyNumberFormat="1"/>
    <xf numFmtId="0" fontId="0" fillId="0" borderId="0" xfId="0" applyAlignment="1">
      <alignment wrapText="1"/>
    </xf>
    <xf numFmtId="0" fontId="1" fillId="0" borderId="0" xfId="0" applyFont="1" applyAlignment="1">
      <alignment wrapText="1"/>
    </xf>
    <xf numFmtId="0" fontId="9" fillId="0" borderId="0" xfId="0" applyFont="1"/>
    <xf numFmtId="165" fontId="9" fillId="0" borderId="0" xfId="0" applyNumberFormat="1" applyFont="1"/>
    <xf numFmtId="4" fontId="9" fillId="0" borderId="0" xfId="0" applyNumberFormat="1" applyFont="1"/>
    <xf numFmtId="0" fontId="12" fillId="0" borderId="0" xfId="0" applyNumberFormat="1" applyFont="1" applyFill="1" applyBorder="1" applyAlignment="1" applyProtection="1"/>
    <xf numFmtId="0" fontId="13" fillId="0" borderId="0" xfId="0" applyFont="1"/>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1" fillId="4" borderId="5" xfId="4" applyFill="1" applyBorder="1" applyAlignment="1">
      <alignment horizontal="center"/>
    </xf>
    <xf numFmtId="0" fontId="11" fillId="4" borderId="6" xfId="4" applyFill="1" applyBorder="1" applyAlignment="1">
      <alignment horizontal="center"/>
    </xf>
    <xf numFmtId="0" fontId="11" fillId="4" borderId="7" xfId="4" applyFill="1" applyBorder="1" applyAlignment="1">
      <alignment horizontal="center"/>
    </xf>
  </cellXfs>
  <cellStyles count="5">
    <cellStyle name="Heading 1" xfId="1" builtinId="16" customBuiltin="1"/>
    <cellStyle name="Heading 2" xfId="2" builtinId="17" customBuiltin="1"/>
    <cellStyle name="Heading 3" xfId="3" builtinId="18" customBuiltin="1"/>
    <cellStyle name="Heading 4" xfId="4" builtinId="19"/>
    <cellStyle name="Normal" xfId="0" builtinId="0" customBuiltin="1"/>
  </cellStyles>
  <dxfs count="65">
    <dxf>
      <font>
        <b val="0"/>
        <i val="0"/>
        <strike val="0"/>
        <condense val="0"/>
        <extend val="0"/>
        <outline val="0"/>
        <shadow val="0"/>
        <u val="none"/>
        <vertAlign val="baseline"/>
        <sz val="10"/>
        <color theme="1" tint="0.24994659260841701"/>
        <name val="Cambria"/>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wrapText="1" readingOrder="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alignment wrapText="1" readingOrder="0"/>
    </dxf>
    <dxf>
      <numFmt numFmtId="165" formatCode="&quot;$&quot;#,##0.00"/>
    </dxf>
    <dxf>
      <numFmt numFmtId="165" formatCode="&quot;$&quot;#,##0.00"/>
    </dxf>
    <dxf>
      <numFmt numFmtId="165" formatCode="&quot;$&quot;#,##0.00"/>
    </dxf>
    <dxf>
      <numFmt numFmtId="165" formatCode="&quot;$&quot;#,##0.00"/>
    </dxf>
    <dxf>
      <numFmt numFmtId="165" formatCode="&quot;$&quot;#,##0.0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164" formatCode="&quot;$&quot;#,##0"/>
    </dxf>
    <dxf>
      <font>
        <b val="0"/>
        <i val="0"/>
        <strike val="0"/>
        <condense val="0"/>
        <extend val="0"/>
        <outline val="0"/>
        <shadow val="0"/>
        <u val="none"/>
        <vertAlign val="baseline"/>
        <sz val="11"/>
        <color theme="1"/>
        <name val="Cambria"/>
        <scheme val="minor"/>
      </font>
    </dxf>
    <dxf>
      <numFmt numFmtId="0" formatCode="General"/>
    </dxf>
    <dxf>
      <font>
        <b val="0"/>
        <i val="0"/>
        <strike val="0"/>
        <condense val="0"/>
        <extend val="0"/>
        <outline val="0"/>
        <shadow val="0"/>
        <u val="none"/>
        <vertAlign val="baseline"/>
        <sz val="11"/>
        <color theme="1"/>
        <name val="Cambria"/>
        <scheme val="minor"/>
      </font>
    </dxf>
    <dxf>
      <numFmt numFmtId="0" formatCode="General"/>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numFmt numFmtId="166" formatCode="m/d/yyyy"/>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0"/>
        <color theme="1"/>
        <name val="Tahoma"/>
        <scheme val="maj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scheme val="minor"/>
      </font>
      <numFmt numFmtId="13" formatCode="0%"/>
      <fill>
        <patternFill patternType="solid">
          <fgColor indexed="64"/>
          <bgColor theme="0" tint="-0.14996795556505021"/>
        </patternFill>
      </fill>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numFmt numFmtId="13" formatCode="0%"/>
    </dxf>
    <dxf>
      <font>
        <b val="0"/>
        <i val="0"/>
        <strike val="0"/>
        <condense val="0"/>
        <extend val="0"/>
        <outline val="0"/>
        <shadow val="0"/>
        <u val="none"/>
        <vertAlign val="baseline"/>
        <sz val="11"/>
        <color theme="1"/>
        <name val="Cambria"/>
        <scheme val="minor"/>
      </font>
    </dxf>
    <dxf>
      <font>
        <b val="0"/>
        <i val="0"/>
        <strike val="0"/>
        <condense val="0"/>
        <extend val="0"/>
        <outline val="0"/>
        <shadow val="0"/>
        <u val="none"/>
        <vertAlign val="baseline"/>
        <sz val="11"/>
        <color theme="1"/>
        <name val="Cambria"/>
        <scheme val="minor"/>
      </font>
    </dxf>
    <dxf>
      <alignment horizontal="general" vertical="bottom" textRotation="0" wrapText="1" indent="0" justifyLastLine="0" shrinkToFit="0" readingOrder="0"/>
    </dxf>
  </dxfs>
  <tableStyles count="0" defaultTableStyle="TableStyleMedium3" defaultPivotStyle="PivotStyleMedium3"/>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PLANNED vs. ACTUAL COST</a:t>
            </a:r>
          </a:p>
        </c:rich>
      </c:tx>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tr-TR"/>
        </a:p>
      </c:txPr>
    </c:title>
    <c:autoTitleDeleted val="0"/>
    <c:plotArea>
      <c:layout/>
      <c:barChart>
        <c:barDir val="col"/>
        <c:grouping val="clustered"/>
        <c:varyColors val="0"/>
        <c:ser>
          <c:idx val="0"/>
          <c:order val="0"/>
          <c:tx>
            <c:strRef>
              <c:f>'PROJECT PARAMETERS'!$B$18</c:f>
              <c:strCache>
                <c:ptCount val="1"/>
                <c:pt idx="0">
                  <c:v>PLANNED COST</c:v>
                </c:pt>
              </c:strCache>
            </c:strRef>
          </c:tx>
          <c:spPr>
            <a:solidFill>
              <a:schemeClr val="accent1"/>
            </a:solidFill>
            <a:ln>
              <a:noFill/>
            </a:ln>
            <a:effectLst/>
          </c:spPr>
          <c:invertIfNegative val="0"/>
          <c:cat>
            <c:strRef>
              <c:f>'PROJECT PARAMETERS'!$C$17:$H$17</c:f>
              <c:strCache>
                <c:ptCount val="6"/>
                <c:pt idx="0">
                  <c:v>GENERAL PARTNER</c:v>
                </c:pt>
                <c:pt idx="1">
                  <c:v>BUSINESS</c:v>
                </c:pt>
                <c:pt idx="2">
                  <c:v>DEFENSE LITIGATOR</c:v>
                </c:pt>
                <c:pt idx="3">
                  <c:v>INTELLECTUAL PROP.</c:v>
                </c:pt>
                <c:pt idx="4">
                  <c:v>BANKRUPTCY</c:v>
                </c:pt>
                <c:pt idx="5">
                  <c:v>ADMIN STAFF</c:v>
                </c:pt>
              </c:strCache>
            </c:strRef>
          </c:cat>
          <c:val>
            <c:numRef>
              <c:f>'PROJECT PARAMETERS'!$C$18:$H$18</c:f>
              <c:numCache>
                <c:formatCode>"$"#,##0.00</c:formatCode>
                <c:ptCount val="6"/>
                <c:pt idx="0">
                  <c:v>339675</c:v>
                </c:pt>
                <c:pt idx="1">
                  <c:v>305250</c:v>
                </c:pt>
                <c:pt idx="2">
                  <c:v>301500</c:v>
                </c:pt>
                <c:pt idx="3">
                  <c:v>311300</c:v>
                </c:pt>
                <c:pt idx="4">
                  <c:v>151200</c:v>
                </c:pt>
                <c:pt idx="5">
                  <c:v>320562.5</c:v>
                </c:pt>
              </c:numCache>
            </c:numRef>
          </c:val>
        </c:ser>
        <c:ser>
          <c:idx val="1"/>
          <c:order val="1"/>
          <c:tx>
            <c:strRef>
              <c:f>'PROJECT PARAMETERS'!$B$19</c:f>
              <c:strCache>
                <c:ptCount val="1"/>
                <c:pt idx="0">
                  <c:v>ACTUAL COST</c:v>
                </c:pt>
              </c:strCache>
            </c:strRef>
          </c:tx>
          <c:spPr>
            <a:solidFill>
              <a:schemeClr val="accent2"/>
            </a:solidFill>
            <a:ln>
              <a:noFill/>
            </a:ln>
            <a:effectLst/>
          </c:spPr>
          <c:invertIfNegative val="0"/>
          <c:cat>
            <c:strRef>
              <c:f>'PROJECT PARAMETERS'!$C$17:$H$17</c:f>
              <c:strCache>
                <c:ptCount val="6"/>
                <c:pt idx="0">
                  <c:v>GENERAL PARTNER</c:v>
                </c:pt>
                <c:pt idx="1">
                  <c:v>BUSINESS</c:v>
                </c:pt>
                <c:pt idx="2">
                  <c:v>DEFENSE LITIGATOR</c:v>
                </c:pt>
                <c:pt idx="3">
                  <c:v>INTELLECTUAL PROP.</c:v>
                </c:pt>
                <c:pt idx="4">
                  <c:v>BANKRUPTCY</c:v>
                </c:pt>
                <c:pt idx="5">
                  <c:v>ADMIN STAFF</c:v>
                </c:pt>
              </c:strCache>
            </c:strRef>
          </c:cat>
          <c:val>
            <c:numRef>
              <c:f>'PROJECT PARAMETERS'!$C$19:$H$19</c:f>
              <c:numCache>
                <c:formatCode>"$"#,##0.00</c:formatCode>
                <c:ptCount val="6"/>
                <c:pt idx="0">
                  <c:v>343000</c:v>
                </c:pt>
                <c:pt idx="1">
                  <c:v>311625</c:v>
                </c:pt>
                <c:pt idx="2">
                  <c:v>308250</c:v>
                </c:pt>
                <c:pt idx="3">
                  <c:v>304975</c:v>
                </c:pt>
                <c:pt idx="4">
                  <c:v>148050</c:v>
                </c:pt>
                <c:pt idx="5">
                  <c:v>323625</c:v>
                </c:pt>
              </c:numCache>
            </c:numRef>
          </c:val>
        </c:ser>
        <c:dLbls>
          <c:showLegendKey val="0"/>
          <c:showVal val="0"/>
          <c:showCatName val="0"/>
          <c:showSerName val="0"/>
          <c:showPercent val="0"/>
          <c:showBubbleSize val="0"/>
        </c:dLbls>
        <c:gapWidth val="199"/>
        <c:axId val="215098176"/>
        <c:axId val="215098568"/>
      </c:barChart>
      <c:catAx>
        <c:axId val="21509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tr-TR"/>
          </a:p>
        </c:txPr>
        <c:crossAx val="215098568"/>
        <c:crosses val="autoZero"/>
        <c:auto val="1"/>
        <c:lblAlgn val="ctr"/>
        <c:lblOffset val="100"/>
        <c:noMultiLvlLbl val="0"/>
      </c:catAx>
      <c:valAx>
        <c:axId val="2150985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150981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PLANNED vs. ACTUAL HOURS</a:t>
            </a:r>
          </a:p>
        </c:rich>
      </c:tx>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tr-TR"/>
        </a:p>
      </c:txPr>
    </c:title>
    <c:autoTitleDeleted val="0"/>
    <c:plotArea>
      <c:layout/>
      <c:barChart>
        <c:barDir val="col"/>
        <c:grouping val="clustered"/>
        <c:varyColors val="0"/>
        <c:ser>
          <c:idx val="0"/>
          <c:order val="0"/>
          <c:tx>
            <c:strRef>
              <c:f>'PROJECT PARAMETERS'!$B$20</c:f>
              <c:strCache>
                <c:ptCount val="1"/>
                <c:pt idx="0">
                  <c:v>PLANNED HOURS</c:v>
                </c:pt>
              </c:strCache>
            </c:strRef>
          </c:tx>
          <c:spPr>
            <a:solidFill>
              <a:schemeClr val="accent1"/>
            </a:solidFill>
            <a:ln>
              <a:noFill/>
            </a:ln>
            <a:effectLst/>
          </c:spPr>
          <c:invertIfNegative val="0"/>
          <c:cat>
            <c:strRef>
              <c:f>'PROJECT PARAMETERS'!$C$17:$H$17</c:f>
              <c:strCache>
                <c:ptCount val="6"/>
                <c:pt idx="0">
                  <c:v>GENERAL PARTNER</c:v>
                </c:pt>
                <c:pt idx="1">
                  <c:v>BUSINESS</c:v>
                </c:pt>
                <c:pt idx="2">
                  <c:v>DEFENSE LITIGATOR</c:v>
                </c:pt>
                <c:pt idx="3">
                  <c:v>INTELLECTUAL PROP.</c:v>
                </c:pt>
                <c:pt idx="4">
                  <c:v>BANKRUPTCY</c:v>
                </c:pt>
                <c:pt idx="5">
                  <c:v>ADMIN STAFF</c:v>
                </c:pt>
              </c:strCache>
            </c:strRef>
          </c:cat>
          <c:val>
            <c:numRef>
              <c:f>'PROJECT PARAMETERS'!$C$20:$H$20</c:f>
              <c:numCache>
                <c:formatCode>#,##0.00</c:formatCode>
                <c:ptCount val="6"/>
                <c:pt idx="0">
                  <c:v>970.5</c:v>
                </c:pt>
                <c:pt idx="1">
                  <c:v>872.14285714285711</c:v>
                </c:pt>
                <c:pt idx="2">
                  <c:v>861.42857142857144</c:v>
                </c:pt>
                <c:pt idx="3">
                  <c:v>889.42857142857144</c:v>
                </c:pt>
                <c:pt idx="4">
                  <c:v>432</c:v>
                </c:pt>
                <c:pt idx="5">
                  <c:v>915.89285714285711</c:v>
                </c:pt>
              </c:numCache>
            </c:numRef>
          </c:val>
        </c:ser>
        <c:ser>
          <c:idx val="1"/>
          <c:order val="1"/>
          <c:tx>
            <c:strRef>
              <c:f>'PROJECT PARAMETERS'!$B$21</c:f>
              <c:strCache>
                <c:ptCount val="1"/>
                <c:pt idx="0">
                  <c:v>ACTUAL HOURS</c:v>
                </c:pt>
              </c:strCache>
            </c:strRef>
          </c:tx>
          <c:spPr>
            <a:solidFill>
              <a:schemeClr val="accent2"/>
            </a:solidFill>
            <a:ln>
              <a:noFill/>
            </a:ln>
            <a:effectLst/>
          </c:spPr>
          <c:invertIfNegative val="0"/>
          <c:cat>
            <c:strRef>
              <c:f>'PROJECT PARAMETERS'!$C$17:$H$17</c:f>
              <c:strCache>
                <c:ptCount val="6"/>
                <c:pt idx="0">
                  <c:v>GENERAL PARTNER</c:v>
                </c:pt>
                <c:pt idx="1">
                  <c:v>BUSINESS</c:v>
                </c:pt>
                <c:pt idx="2">
                  <c:v>DEFENSE LITIGATOR</c:v>
                </c:pt>
                <c:pt idx="3">
                  <c:v>INTELLECTUAL PROP.</c:v>
                </c:pt>
                <c:pt idx="4">
                  <c:v>BANKRUPTCY</c:v>
                </c:pt>
                <c:pt idx="5">
                  <c:v>ADMIN STAFF</c:v>
                </c:pt>
              </c:strCache>
            </c:strRef>
          </c:cat>
          <c:val>
            <c:numRef>
              <c:f>'PROJECT PARAMETERS'!$C$21:$H$21</c:f>
              <c:numCache>
                <c:formatCode>#,##0.00</c:formatCode>
                <c:ptCount val="6"/>
                <c:pt idx="0">
                  <c:v>980</c:v>
                </c:pt>
                <c:pt idx="1">
                  <c:v>890.35714285714289</c:v>
                </c:pt>
                <c:pt idx="2">
                  <c:v>880.71428571428567</c:v>
                </c:pt>
                <c:pt idx="3">
                  <c:v>871.35714285714289</c:v>
                </c:pt>
                <c:pt idx="4">
                  <c:v>423</c:v>
                </c:pt>
                <c:pt idx="5">
                  <c:v>924.64285714285711</c:v>
                </c:pt>
              </c:numCache>
            </c:numRef>
          </c:val>
        </c:ser>
        <c:dLbls>
          <c:showLegendKey val="0"/>
          <c:showVal val="0"/>
          <c:showCatName val="0"/>
          <c:showSerName val="0"/>
          <c:showPercent val="0"/>
          <c:showBubbleSize val="0"/>
        </c:dLbls>
        <c:gapWidth val="199"/>
        <c:axId val="218710912"/>
        <c:axId val="218710520"/>
      </c:barChart>
      <c:catAx>
        <c:axId val="21871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tr-TR"/>
          </a:p>
        </c:txPr>
        <c:crossAx val="218710520"/>
        <c:crosses val="autoZero"/>
        <c:auto val="1"/>
        <c:lblAlgn val="ctr"/>
        <c:lblOffset val="100"/>
        <c:noMultiLvlLbl val="0"/>
      </c:catAx>
      <c:valAx>
        <c:axId val="218710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187109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19049</xdr:rowOff>
    </xdr:from>
    <xdr:to>
      <xdr:col>4</xdr:col>
      <xdr:colOff>209550</xdr:colOff>
      <xdr:row>44</xdr:row>
      <xdr:rowOff>95250</xdr:rowOff>
    </xdr:to>
    <xdr:graphicFrame macro="">
      <xdr:nvGraphicFramePr>
        <xdr:cNvPr id="7" name="Chart 6" descr="Column chart showing planned versus actual cost." title="Cost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15</xdr:row>
      <xdr:rowOff>19049</xdr:rowOff>
    </xdr:from>
    <xdr:to>
      <xdr:col>9</xdr:col>
      <xdr:colOff>19050</xdr:colOff>
      <xdr:row>44</xdr:row>
      <xdr:rowOff>95250</xdr:rowOff>
    </xdr:to>
    <xdr:graphicFrame macro="">
      <xdr:nvGraphicFramePr>
        <xdr:cNvPr id="8" name="Chart 7" descr="Column chart showing planned versus actual hours." title="Hours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2</xdr:row>
      <xdr:rowOff>0</xdr:rowOff>
    </xdr:from>
    <xdr:to>
      <xdr:col>28</xdr:col>
      <xdr:colOff>590550</xdr:colOff>
      <xdr:row>16</xdr:row>
      <xdr:rowOff>28576</xdr:rowOff>
    </xdr:to>
    <xdr:sp macro="" textlink="">
      <xdr:nvSpPr>
        <xdr:cNvPr id="3" name="Rectangle 2" title="Info"/>
        <xdr:cNvSpPr/>
      </xdr:nvSpPr>
      <xdr:spPr>
        <a:xfrm>
          <a:off x="9906000" y="447675"/>
          <a:ext cx="3028950" cy="2943226"/>
        </a:xfrm>
        <a:prstGeom prst="rect">
          <a:avLst/>
        </a:prstGeom>
        <a:solidFill>
          <a:schemeClr val="accent2">
            <a:lumMod val="20000"/>
            <a:lumOff val="80000"/>
          </a:schemeClr>
        </a:solidFill>
        <a:ln w="19050">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800">
              <a:solidFill>
                <a:schemeClr val="tx1">
                  <a:lumMod val="65000"/>
                  <a:lumOff val="35000"/>
                </a:schemeClr>
              </a:solidFill>
              <a:latin typeface="+mj-lt"/>
            </a:rPr>
            <a:t>INFO</a:t>
          </a:r>
        </a:p>
        <a:p>
          <a:pPr algn="l"/>
          <a:endParaRPr lang="en-US" sz="1100">
            <a:solidFill>
              <a:schemeClr val="tx1">
                <a:lumMod val="65000"/>
                <a:lumOff val="35000"/>
              </a:schemeClr>
            </a:solidFill>
          </a:endParaRPr>
        </a:p>
        <a:p>
          <a:pPr algn="l"/>
          <a:r>
            <a:rPr lang="en-US" sz="1100">
              <a:solidFill>
                <a:schemeClr val="tx1">
                  <a:lumMod val="65000"/>
                  <a:lumOff val="35000"/>
                </a:schemeClr>
              </a:solidFill>
            </a:rPr>
            <a:t>To add a row, select</a:t>
          </a:r>
          <a:r>
            <a:rPr lang="en-US" sz="1100" baseline="0">
              <a:solidFill>
                <a:schemeClr val="tx1">
                  <a:lumMod val="65000"/>
                  <a:lumOff val="35000"/>
                </a:schemeClr>
              </a:solidFill>
            </a:rPr>
            <a:t> the bottom-right most cell in the body of the table (not the totals row) and press Tab, or right-click where you want the row inserted and select Insert | Table Rows Above/Below.</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Be sure all unused rows are deleted, as the PROJECT TOTALS PivotTable will use all of the tables cells, and otherwise would give erroneous results.</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To delete this info tip, select any edge and press Delete.</a:t>
          </a:r>
          <a:endParaRPr lang="en-US" sz="1100">
            <a:solidFill>
              <a:schemeClr val="tx1">
                <a:lumMod val="65000"/>
                <a:lumOff val="35000"/>
              </a:schemeClr>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4</xdr:row>
      <xdr:rowOff>0</xdr:rowOff>
    </xdr:from>
    <xdr:to>
      <xdr:col>19</xdr:col>
      <xdr:colOff>590550</xdr:colOff>
      <xdr:row>15</xdr:row>
      <xdr:rowOff>114300</xdr:rowOff>
    </xdr:to>
    <xdr:sp macro="" textlink="">
      <xdr:nvSpPr>
        <xdr:cNvPr id="2" name="Rectangle 1" title="Info"/>
        <xdr:cNvSpPr/>
      </xdr:nvSpPr>
      <xdr:spPr>
        <a:xfrm>
          <a:off x="12192000" y="885825"/>
          <a:ext cx="3028950" cy="2247900"/>
        </a:xfrm>
        <a:prstGeom prst="rect">
          <a:avLst/>
        </a:prstGeom>
        <a:solidFill>
          <a:schemeClr val="accent2">
            <a:lumMod val="20000"/>
            <a:lumOff val="80000"/>
          </a:schemeClr>
        </a:solidFill>
        <a:ln w="19050">
          <a:solidFill>
            <a:schemeClr val="accent2">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800">
              <a:solidFill>
                <a:schemeClr val="tx1">
                  <a:lumMod val="65000"/>
                  <a:lumOff val="35000"/>
                </a:schemeClr>
              </a:solidFill>
              <a:latin typeface="+mj-lt"/>
            </a:rPr>
            <a:t>INFO</a:t>
          </a:r>
        </a:p>
        <a:p>
          <a:pPr algn="l"/>
          <a:endParaRPr lang="en-US" sz="1100">
            <a:solidFill>
              <a:schemeClr val="tx1">
                <a:lumMod val="65000"/>
                <a:lumOff val="35000"/>
              </a:schemeClr>
            </a:solidFill>
          </a:endParaRPr>
        </a:p>
        <a:p>
          <a:pPr algn="l"/>
          <a:r>
            <a:rPr lang="en-US" sz="1100">
              <a:solidFill>
                <a:schemeClr val="tx1">
                  <a:lumMod val="65000"/>
                  <a:lumOff val="35000"/>
                </a:schemeClr>
              </a:solidFill>
            </a:rPr>
            <a:t>This PivotTable will not refresh automatically.  To refresh it, select</a:t>
          </a:r>
          <a:r>
            <a:rPr lang="en-US" sz="1100" baseline="0">
              <a:solidFill>
                <a:schemeClr val="tx1">
                  <a:lumMod val="65000"/>
                  <a:lumOff val="35000"/>
                </a:schemeClr>
              </a:solidFill>
            </a:rPr>
            <a:t> it (any cell within the PivotTable), on the PIVOTTABLE TOOLS | ANALYZE ribbon tab press Refresh.  Or right-click any cell in the PivotTable and select Refresh.</a:t>
          </a:r>
        </a:p>
        <a:p>
          <a:pPr algn="l"/>
          <a:endParaRPr lang="en-US" sz="1100" baseline="0">
            <a:solidFill>
              <a:schemeClr val="tx1">
                <a:lumMod val="65000"/>
                <a:lumOff val="35000"/>
              </a:schemeClr>
            </a:solidFill>
          </a:endParaRPr>
        </a:p>
        <a:p>
          <a:pPr algn="l"/>
          <a:r>
            <a:rPr lang="en-US" sz="1100" baseline="0">
              <a:solidFill>
                <a:schemeClr val="tx1">
                  <a:lumMod val="65000"/>
                  <a:lumOff val="35000"/>
                </a:schemeClr>
              </a:solidFill>
            </a:rPr>
            <a:t>To delete this info tip, select any edge and press Delete.</a:t>
          </a:r>
          <a:endParaRPr lang="en-US" sz="1100">
            <a:solidFill>
              <a:schemeClr val="tx1">
                <a:lumMod val="65000"/>
                <a:lumOff val="35000"/>
              </a:schemeClr>
            </a:solidFill>
          </a:endParaRP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478.484216550925" createdVersion="5" refreshedVersion="5" minRefreshableVersion="3" recordCount="22">
  <cacheSource type="worksheet">
    <worksheetSource name="tblDetails"/>
  </cacheSource>
  <cacheFields count="22">
    <cacheField name="PROJECT NAME" numFmtId="0">
      <sharedItems count="22">
        <s v="A. Datum Corporation"/>
        <s v="Adventure Works"/>
        <s v="Alpine Ski House"/>
        <s v="Baldwin Museum of Science"/>
        <s v="Blue Yonder Airlines"/>
        <s v="City Power &amp; Light"/>
        <s v="Coho Vineyard"/>
        <s v="Coho Winery"/>
        <s v="Coho Vineyard &amp; Winery"/>
        <s v="Contoso, Ltd."/>
        <s v="Contoso Pharmaceuticals"/>
        <s v="Consolidated Messenger"/>
        <s v="Fabrikam, Inc."/>
        <s v="Fourth Coffee"/>
        <s v="Graphic Design Institute"/>
        <s v="Humongous Insurance"/>
        <s v="Litware, Inc."/>
        <s v="Lucerne Publishing"/>
        <s v="Margie's Travel"/>
        <s v="Northwind Traders"/>
        <s v="Proseware, Inc."/>
        <s v="School of Fine Art"/>
      </sharedItems>
    </cacheField>
    <cacheField name="PROJECT TYPE" numFmtId="0">
      <sharedItems/>
    </cacheField>
    <cacheField name="ESTIMATED START" numFmtId="14">
      <sharedItems containsSemiMixedTypes="0" containsNonDate="0" containsDate="1" containsString="0" minDate="2013-06-09T00:00:00" maxDate="2014-04-10T00:00:00"/>
    </cacheField>
    <cacheField name="ESTIMATED FINISH" numFmtId="14">
      <sharedItems containsSemiMixedTypes="0" containsNonDate="0" containsDate="1" containsString="0" minDate="2013-07-27T00:00:00" maxDate="2014-05-26T00:00:00"/>
    </cacheField>
    <cacheField name="ACTUAL START" numFmtId="14">
      <sharedItems containsSemiMixedTypes="0" containsNonDate="0" containsDate="1" containsString="0" minDate="2013-06-29T00:00:00" maxDate="2014-05-19T00:00:00"/>
    </cacheField>
    <cacheField name="ACTUAL FINISH" numFmtId="14">
      <sharedItems containsSemiMixedTypes="0" containsNonDate="0" containsDate="1" containsString="0" minDate="2013-08-25T00:00:00" maxDate="2014-07-02T00:00:00"/>
    </cacheField>
    <cacheField name="ESTIMATED WORK" numFmtId="0">
      <sharedItems containsSemiMixedTypes="0" containsString="0" containsNumber="1" containsInteger="1" minValue="150" maxValue="750"/>
    </cacheField>
    <cacheField name="ACTUAL WORK" numFmtId="0">
      <sharedItems containsSemiMixedTypes="0" containsString="0" containsNumber="1" containsInteger="1" minValue="145" maxValue="790"/>
    </cacheField>
    <cacheField name="ESTIMATED DURATION" numFmtId="0">
      <sharedItems containsSemiMixedTypes="0" containsString="0" containsNumber="1" containsInteger="1" minValue="10" maxValue="207"/>
    </cacheField>
    <cacheField name="ACTUAL DURATION" numFmtId="0">
      <sharedItems containsSemiMixedTypes="0" containsString="0" containsNumber="1" containsInteger="1" minValue="-13" maxValue="209"/>
    </cacheField>
    <cacheField name="GENERAL PARTNER" numFmtId="164">
      <sharedItems containsSemiMixedTypes="0" containsString="0" containsNumber="1" containsInteger="1" minValue="5250" maxValue="52500"/>
    </cacheField>
    <cacheField name="BUSINESS LAWYER" numFmtId="164">
      <sharedItems containsSemiMixedTypes="0" containsString="0" containsNumber="1" containsInteger="1" minValue="0" maxValue="55000"/>
    </cacheField>
    <cacheField name="DEFENSE LITIGATOR" numFmtId="164">
      <sharedItems containsSemiMixedTypes="0" containsString="0" containsNumber="1" containsInteger="1" minValue="0" maxValue="112500"/>
    </cacheField>
    <cacheField name="INTELLECTUAL PROPERTY LAWYER" numFmtId="164">
      <sharedItems containsSemiMixedTypes="0" containsString="0" containsNumber="1" containsInteger="1" minValue="0" maxValue="86625"/>
    </cacheField>
    <cacheField name="BANKRUPTCY LAWYER" numFmtId="164">
      <sharedItems containsSemiMixedTypes="0" containsString="0" containsNumber="1" containsInteger="1" minValue="0" maxValue="54000"/>
    </cacheField>
    <cacheField name="ADMIN STAFF" numFmtId="164">
      <sharedItems containsSemiMixedTypes="0" containsString="0" containsNumber="1" minValue="5625" maxValue="31250"/>
    </cacheField>
    <cacheField name="GENERAL PARTNER 2" numFmtId="164">
      <sharedItems containsSemiMixedTypes="0" containsString="0" containsNumber="1" containsInteger="1" minValue="5075" maxValue="55300"/>
    </cacheField>
    <cacheField name="BUSINESS LAWYER 2" numFmtId="164">
      <sharedItems containsSemiMixedTypes="0" containsString="0" containsNumber="1" containsInteger="1" minValue="0" maxValue="56500"/>
    </cacheField>
    <cacheField name="DEFENSE LITIGATOR 2" numFmtId="164">
      <sharedItems containsSemiMixedTypes="0" containsString="0" containsNumber="1" containsInteger="1" minValue="0" maxValue="118500"/>
    </cacheField>
    <cacheField name="INTELLECTUAL PROPERTY LAWYER 2" numFmtId="164">
      <sharedItems containsSemiMixedTypes="0" containsString="0" containsNumber="1" minValue="0" maxValue="89100"/>
    </cacheField>
    <cacheField name="BANKRUPTCY LAWYER 2" numFmtId="164">
      <sharedItems containsSemiMixedTypes="0" containsString="0" containsNumber="1" containsInteger="1" minValue="0" maxValue="50400"/>
    </cacheField>
    <cacheField name="ADMIN STAFF 2" numFmtId="164">
      <sharedItems containsSemiMixedTypes="0" containsString="0" containsNumber="1" minValue="5437.5" maxValue="318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x v="0"/>
    <s v="Business Incorporation"/>
    <d v="2013-06-09T00:00:00"/>
    <d v="2013-08-07T00:00:00"/>
    <d v="2013-06-29T00:00:00"/>
    <d v="2013-09-03T00:00:00"/>
    <n v="200"/>
    <n v="220"/>
    <n v="58"/>
    <n v="64"/>
    <n v="7000"/>
    <n v="20000"/>
    <n v="0"/>
    <n v="0"/>
    <n v="0"/>
    <n v="12500"/>
    <n v="7700"/>
    <n v="22000"/>
    <n v="0"/>
    <n v="0"/>
    <n v="0"/>
    <n v="13750"/>
  </r>
  <r>
    <x v="1"/>
    <s v="Business Acquisition"/>
    <d v="2013-06-25T00:00:00"/>
    <d v="2013-07-27T00:00:00"/>
    <d v="2013-07-15T00:00:00"/>
    <d v="2013-08-25T00:00:00"/>
    <n v="400"/>
    <n v="390"/>
    <n v="32"/>
    <n v="40"/>
    <n v="14000"/>
    <n v="40000"/>
    <n v="0"/>
    <n v="11000"/>
    <n v="0"/>
    <n v="20000"/>
    <n v="13650"/>
    <n v="39000"/>
    <n v="0"/>
    <n v="10725"/>
    <n v="0"/>
    <n v="19500"/>
  </r>
  <r>
    <x v="2"/>
    <s v="Product Liability Defense"/>
    <d v="2013-07-12T00:00:00"/>
    <d v="2013-09-19T00:00:00"/>
    <d v="2013-08-07T00:00:00"/>
    <d v="2013-10-10T00:00:00"/>
    <n v="500"/>
    <n v="500"/>
    <n v="67"/>
    <n v="63"/>
    <n v="35000"/>
    <n v="0"/>
    <n v="75000"/>
    <n v="0"/>
    <n v="0"/>
    <n v="18750"/>
    <n v="35000"/>
    <n v="0"/>
    <n v="75000"/>
    <n v="0"/>
    <n v="0"/>
    <n v="18750"/>
  </r>
  <r>
    <x v="3"/>
    <s v="Patent Application"/>
    <d v="2013-07-30T00:00:00"/>
    <d v="2013-09-28T00:00:00"/>
    <d v="2013-09-14T00:00:00"/>
    <d v="2013-11-13T00:00:00"/>
    <n v="150"/>
    <n v="145"/>
    <n v="58"/>
    <n v="59"/>
    <n v="5250"/>
    <n v="0"/>
    <n v="0"/>
    <n v="24750"/>
    <n v="0"/>
    <n v="5625"/>
    <n v="5075"/>
    <n v="0"/>
    <n v="0"/>
    <n v="23925"/>
    <n v="0"/>
    <n v="5437.5"/>
  </r>
  <r>
    <x v="4"/>
    <s v="Employee Lawsuit"/>
    <d v="2013-08-11T00:00:00"/>
    <d v="2013-08-21T00:00:00"/>
    <d v="2013-09-14T00:00:00"/>
    <d v="2013-09-25T00:00:00"/>
    <n v="250"/>
    <n v="255"/>
    <n v="10"/>
    <n v="11"/>
    <n v="17500"/>
    <n v="6250"/>
    <n v="30000"/>
    <n v="0"/>
    <n v="0"/>
    <n v="9375"/>
    <n v="17850"/>
    <n v="6375"/>
    <n v="30600"/>
    <n v="0"/>
    <n v="0"/>
    <n v="9562.5"/>
  </r>
  <r>
    <x v="5"/>
    <s v="Bankruptcy"/>
    <d v="2013-08-22T00:00:00"/>
    <d v="2013-10-02T00:00:00"/>
    <d v="2013-09-28T00:00:00"/>
    <d v="2013-10-27T00:00:00"/>
    <n v="300"/>
    <n v="310"/>
    <n v="40"/>
    <n v="29"/>
    <n v="10500"/>
    <n v="15000"/>
    <n v="0"/>
    <n v="0"/>
    <n v="27000"/>
    <n v="11250"/>
    <n v="10850"/>
    <n v="15500"/>
    <n v="0"/>
    <n v="0"/>
    <n v="27900"/>
    <n v="11625"/>
  </r>
  <r>
    <x v="6"/>
    <s v="Business Incorporation"/>
    <d v="2013-09-13T00:00:00"/>
    <d v="2013-09-23T00:00:00"/>
    <d v="2013-10-26T00:00:00"/>
    <d v="2013-10-13T00:00:00"/>
    <n v="500"/>
    <n v="510"/>
    <n v="10"/>
    <n v="-13"/>
    <n v="17500"/>
    <n v="50000"/>
    <n v="0"/>
    <n v="0"/>
    <n v="0"/>
    <n v="31250"/>
    <n v="17850"/>
    <n v="51000"/>
    <n v="0"/>
    <n v="0"/>
    <n v="0"/>
    <n v="31875"/>
  </r>
  <r>
    <x v="7"/>
    <s v="Product Liability Defense"/>
    <d v="2013-09-21T00:00:00"/>
    <d v="2013-10-15T00:00:00"/>
    <d v="2013-10-23T00:00:00"/>
    <d v="2013-11-18T00:00:00"/>
    <n v="750"/>
    <n v="790"/>
    <n v="24"/>
    <n v="25"/>
    <n v="52500"/>
    <n v="0"/>
    <n v="112500"/>
    <n v="0"/>
    <n v="0"/>
    <n v="28125"/>
    <n v="55300"/>
    <n v="0"/>
    <n v="118500"/>
    <n v="0"/>
    <n v="0"/>
    <n v="29625"/>
  </r>
  <r>
    <x v="8"/>
    <s v="Patent Application"/>
    <d v="2013-10-15T00:00:00"/>
    <d v="2013-11-25T00:00:00"/>
    <d v="2013-11-30T00:00:00"/>
    <d v="2014-01-10T00:00:00"/>
    <n v="450"/>
    <n v="430"/>
    <n v="40"/>
    <n v="40"/>
    <n v="15750"/>
    <n v="0"/>
    <n v="0"/>
    <n v="74250"/>
    <n v="0"/>
    <n v="16875"/>
    <n v="15050"/>
    <n v="0"/>
    <n v="0"/>
    <n v="70950"/>
    <n v="0"/>
    <n v="16125"/>
  </r>
  <r>
    <x v="9"/>
    <s v="Bankruptcy"/>
    <d v="2013-10-26T00:00:00"/>
    <d v="2013-12-24T00:00:00"/>
    <d v="2013-11-26T00:00:00"/>
    <d v="2014-01-19T00:00:00"/>
    <n v="250"/>
    <n v="235"/>
    <n v="58"/>
    <n v="53"/>
    <n v="8750"/>
    <n v="12500"/>
    <n v="0"/>
    <n v="0"/>
    <n v="22500"/>
    <n v="9375"/>
    <n v="8225"/>
    <n v="11750"/>
    <n v="0"/>
    <n v="0"/>
    <n v="21150"/>
    <n v="8812.5"/>
  </r>
  <r>
    <x v="10"/>
    <s v="Business Acquisition"/>
    <d v="2013-11-17T00:00:00"/>
    <d v="2014-01-15T00:00:00"/>
    <d v="2013-12-28T00:00:00"/>
    <d v="2014-02-26T00:00:00"/>
    <n v="200"/>
    <n v="235"/>
    <n v="58"/>
    <n v="58"/>
    <n v="7000"/>
    <n v="20000"/>
    <n v="0"/>
    <n v="5500"/>
    <n v="0"/>
    <n v="10000"/>
    <n v="8225"/>
    <n v="23500"/>
    <n v="0"/>
    <n v="6462.5"/>
    <n v="0"/>
    <n v="11750"/>
  </r>
  <r>
    <x v="11"/>
    <s v="Bankruptcy"/>
    <d v="2013-12-03T00:00:00"/>
    <d v="2014-02-02T00:00:00"/>
    <d v="2014-01-14T00:00:00"/>
    <d v="2014-03-02T00:00:00"/>
    <n v="180"/>
    <n v="190"/>
    <n v="59"/>
    <n v="48"/>
    <n v="6300"/>
    <n v="9000"/>
    <n v="0"/>
    <n v="0"/>
    <n v="16200"/>
    <n v="6750"/>
    <n v="6650"/>
    <n v="9500"/>
    <n v="0"/>
    <n v="0"/>
    <n v="17100"/>
    <n v="7125"/>
  </r>
  <r>
    <x v="12"/>
    <s v="Patent Application"/>
    <d v="2013-06-21T00:00:00"/>
    <d v="2014-01-18T00:00:00"/>
    <d v="2013-08-05T00:00:00"/>
    <d v="2014-03-04T00:00:00"/>
    <n v="250"/>
    <n v="230"/>
    <n v="207"/>
    <n v="209"/>
    <n v="8750"/>
    <n v="0"/>
    <n v="0"/>
    <n v="41250"/>
    <n v="0"/>
    <n v="9375"/>
    <n v="8050"/>
    <n v="0"/>
    <n v="0"/>
    <n v="37950"/>
    <n v="0"/>
    <n v="8625"/>
  </r>
  <r>
    <x v="13"/>
    <s v="Product Liability Defense"/>
    <d v="2013-12-20T00:00:00"/>
    <d v="2014-02-04T00:00:00"/>
    <d v="2014-01-27T00:00:00"/>
    <d v="2014-03-25T00:00:00"/>
    <n v="240"/>
    <n v="225"/>
    <n v="44"/>
    <n v="58"/>
    <n v="16800"/>
    <n v="0"/>
    <n v="36000"/>
    <n v="0"/>
    <n v="0"/>
    <n v="9000"/>
    <n v="15750"/>
    <n v="0"/>
    <n v="33750"/>
    <n v="0"/>
    <n v="0"/>
    <n v="8437.5"/>
  </r>
  <r>
    <x v="14"/>
    <s v="Patent Application"/>
    <d v="2013-12-28T00:00:00"/>
    <d v="2014-03-05T00:00:00"/>
    <d v="2014-01-17T00:00:00"/>
    <d v="2014-04-10T00:00:00"/>
    <n v="320"/>
    <n v="305"/>
    <n v="67"/>
    <n v="83"/>
    <n v="11200"/>
    <n v="0"/>
    <n v="0"/>
    <n v="52800"/>
    <n v="0"/>
    <n v="12000"/>
    <n v="10675"/>
    <n v="0"/>
    <n v="0"/>
    <n v="50325"/>
    <n v="0"/>
    <n v="11437.5"/>
  </r>
  <r>
    <x v="15"/>
    <s v="Business Acquisition"/>
    <d v="2014-01-04T00:00:00"/>
    <d v="2014-03-06T00:00:00"/>
    <d v="2014-02-03T00:00:00"/>
    <d v="2014-04-06T00:00:00"/>
    <n v="550"/>
    <n v="565"/>
    <n v="62"/>
    <n v="63"/>
    <n v="19250"/>
    <n v="55000"/>
    <n v="0"/>
    <n v="15125"/>
    <n v="0"/>
    <n v="27500"/>
    <n v="19775"/>
    <n v="56500"/>
    <n v="0"/>
    <n v="15537.5"/>
    <n v="0"/>
    <n v="28250"/>
  </r>
  <r>
    <x v="16"/>
    <s v="Bankruptcy"/>
    <d v="2014-01-23T00:00:00"/>
    <d v="2014-03-07T00:00:00"/>
    <d v="2014-03-07T00:00:00"/>
    <d v="2014-04-08T00:00:00"/>
    <n v="350"/>
    <n v="350"/>
    <n v="44"/>
    <n v="31"/>
    <n v="12250"/>
    <n v="17500"/>
    <n v="0"/>
    <n v="0"/>
    <n v="31500"/>
    <n v="13125"/>
    <n v="12250"/>
    <n v="17500"/>
    <n v="0"/>
    <n v="0"/>
    <n v="31500"/>
    <n v="13125"/>
  </r>
  <r>
    <x v="17"/>
    <s v="Business Incorporation"/>
    <d v="2014-02-05T00:00:00"/>
    <d v="2014-04-17T00:00:00"/>
    <d v="2014-03-07T00:00:00"/>
    <d v="2014-06-03T00:00:00"/>
    <n v="200"/>
    <n v="205"/>
    <n v="72"/>
    <n v="86"/>
    <n v="7000"/>
    <n v="20000"/>
    <n v="0"/>
    <n v="0"/>
    <n v="0"/>
    <n v="12500"/>
    <n v="7175"/>
    <n v="20500"/>
    <n v="0"/>
    <n v="0"/>
    <n v="0"/>
    <n v="12812.5"/>
  </r>
  <r>
    <x v="18"/>
    <s v="Employee Lawsuit"/>
    <d v="2014-02-15T00:00:00"/>
    <d v="2014-04-30T00:00:00"/>
    <d v="2014-03-26T00:00:00"/>
    <d v="2014-06-09T00:00:00"/>
    <n v="220"/>
    <n v="230"/>
    <n v="75"/>
    <n v="73"/>
    <n v="15400"/>
    <n v="5500"/>
    <n v="26400"/>
    <n v="0"/>
    <n v="0"/>
    <n v="8250"/>
    <n v="16100"/>
    <n v="5750"/>
    <n v="27600"/>
    <n v="0"/>
    <n v="0"/>
    <n v="8625"/>
  </r>
  <r>
    <x v="19"/>
    <s v="Bankruptcy"/>
    <d v="2014-03-17T00:00:00"/>
    <d v="2014-05-25T00:00:00"/>
    <d v="2014-04-29T00:00:00"/>
    <d v="2014-07-01T00:00:00"/>
    <n v="600"/>
    <n v="560"/>
    <n v="68"/>
    <n v="62"/>
    <n v="21000"/>
    <n v="30000"/>
    <n v="0"/>
    <n v="0"/>
    <n v="54000"/>
    <n v="22500"/>
    <n v="19600"/>
    <n v="28000"/>
    <n v="0"/>
    <n v="0"/>
    <n v="50400"/>
    <n v="21000"/>
  </r>
  <r>
    <x v="20"/>
    <s v="Patent Application"/>
    <d v="2014-03-29T00:00:00"/>
    <d v="2014-05-19T00:00:00"/>
    <d v="2014-05-18T00:00:00"/>
    <d v="2014-06-19T00:00:00"/>
    <n v="525"/>
    <n v="540"/>
    <n v="50"/>
    <n v="31"/>
    <n v="18375"/>
    <n v="0"/>
    <n v="0"/>
    <n v="86625"/>
    <n v="0"/>
    <n v="19687.5"/>
    <n v="18900"/>
    <n v="0"/>
    <n v="0"/>
    <n v="89100"/>
    <n v="0"/>
    <n v="20250"/>
  </r>
  <r>
    <x v="21"/>
    <s v="Employee Lawsuit"/>
    <d v="2014-04-09T00:00:00"/>
    <d v="2014-04-29T00:00:00"/>
    <d v="2014-05-02T00:00:00"/>
    <d v="2014-06-04T00:00:00"/>
    <n v="180"/>
    <n v="190"/>
    <n v="20"/>
    <n v="32"/>
    <n v="12600"/>
    <n v="4500"/>
    <n v="21600"/>
    <n v="0"/>
    <n v="0"/>
    <n v="6750"/>
    <n v="13300"/>
    <n v="4750"/>
    <n v="22800"/>
    <n v="0"/>
    <n v="0"/>
    <n v="7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vtTotals" cacheId="9"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chartFormat="4">
  <location ref="B6:N29" firstHeaderRow="0" firstDataRow="1" firstDataCol="1"/>
  <pivotFields count="22">
    <pivotField axis="axisRow" compact="0" outline="0" showAll="0">
      <items count="23">
        <item x="0"/>
        <item x="1"/>
        <item x="2"/>
        <item x="3"/>
        <item x="4"/>
        <item x="5"/>
        <item x="6"/>
        <item x="8"/>
        <item x="7"/>
        <item x="11"/>
        <item x="10"/>
        <item x="9"/>
        <item x="12"/>
        <item x="13"/>
        <item x="14"/>
        <item x="15"/>
        <item x="16"/>
        <item x="17"/>
        <item x="18"/>
        <item x="19"/>
        <item x="20"/>
        <item x="21"/>
        <item t="default"/>
      </items>
    </pivotField>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12">
    <i>
      <x/>
    </i>
    <i i="1">
      <x v="1"/>
    </i>
    <i i="2">
      <x v="2"/>
    </i>
    <i i="3">
      <x v="3"/>
    </i>
    <i i="4">
      <x v="4"/>
    </i>
    <i i="5">
      <x v="5"/>
    </i>
    <i i="6">
      <x v="6"/>
    </i>
    <i i="7">
      <x v="7"/>
    </i>
    <i i="8">
      <x v="8"/>
    </i>
    <i i="9">
      <x v="9"/>
    </i>
    <i i="10">
      <x v="10"/>
    </i>
    <i i="11">
      <x v="11"/>
    </i>
  </colItems>
  <dataFields count="12">
    <dataField name="GENERAL PARTNER " fld="10" baseField="0" baseItem="10" numFmtId="165"/>
    <dataField name="BUSINESS " fld="11" baseField="0" baseItem="10" numFmtId="165"/>
    <dataField name="DEFENSE LITIGATOR " fld="12" baseField="0" baseItem="10" numFmtId="165"/>
    <dataField name="INTELLECTUAL PROPERTY " fld="13" baseField="0" baseItem="10" numFmtId="165"/>
    <dataField name="BANKRUPTCY " fld="14" baseField="0" baseItem="10" numFmtId="165"/>
    <dataField name="ADMIN STAFF " fld="15" baseField="0" baseItem="10" numFmtId="165"/>
    <dataField name="GENERAL PARTNER  " fld="16" baseField="0" baseItem="3" numFmtId="165"/>
    <dataField name="BUSINESS    " fld="17" baseField="0" baseItem="10" numFmtId="165"/>
    <dataField name="DEFENSE LITIGATOR  " fld="18" baseField="0" baseItem="3" numFmtId="165"/>
    <dataField name="BANKRUPTCY  " fld="20" baseField="0" baseItem="10" numFmtId="165"/>
    <dataField name="INTELLECTUAL PROPERTY  " fld="19" baseField="0" baseItem="9" numFmtId="165"/>
    <dataField name="ADMIN STAFF  " fld="21" baseField="0" baseItem="10" numFmtId="165"/>
  </dataFields>
  <formats count="14">
    <format dxfId="13">
      <pivotArea outline="0" fieldPosition="0">
        <references count="1">
          <reference field="4294967294" count="1">
            <x v="0"/>
          </reference>
        </references>
      </pivotArea>
    </format>
    <format dxfId="12">
      <pivotArea outline="0" fieldPosition="0">
        <references count="1">
          <reference field="4294967294" count="1">
            <x v="1"/>
          </reference>
        </references>
      </pivotArea>
    </format>
    <format dxfId="11">
      <pivotArea outline="0" fieldPosition="0">
        <references count="1">
          <reference field="4294967294" count="1">
            <x v="2"/>
          </reference>
        </references>
      </pivotArea>
    </format>
    <format dxfId="10">
      <pivotArea outline="0" fieldPosition="0">
        <references count="1">
          <reference field="4294967294" count="1">
            <x v="3"/>
          </reference>
        </references>
      </pivotArea>
    </format>
    <format dxfId="9">
      <pivotArea outline="0" fieldPosition="0">
        <references count="1">
          <reference field="4294967294" count="1">
            <x v="4"/>
          </reference>
        </references>
      </pivotArea>
    </format>
    <format dxfId="8">
      <pivotArea dataOnly="0" labelOnly="1" outline="0" fieldPosition="0">
        <references count="1">
          <reference field="4294967294" count="6">
            <x v="0"/>
            <x v="1"/>
            <x v="2"/>
            <x v="3"/>
            <x v="4"/>
            <x v="5"/>
          </reference>
        </references>
      </pivotArea>
    </format>
    <format dxfId="7">
      <pivotArea outline="0" fieldPosition="0">
        <references count="1">
          <reference field="4294967294" count="1">
            <x v="6"/>
          </reference>
        </references>
      </pivotArea>
    </format>
    <format dxfId="6">
      <pivotArea outline="0" fieldPosition="0">
        <references count="1">
          <reference field="4294967294" count="1">
            <x v="7"/>
          </reference>
        </references>
      </pivotArea>
    </format>
    <format dxfId="5">
      <pivotArea outline="0" fieldPosition="0">
        <references count="1">
          <reference field="4294967294" count="1">
            <x v="8"/>
          </reference>
        </references>
      </pivotArea>
    </format>
    <format dxfId="4">
      <pivotArea outline="0" fieldPosition="0">
        <references count="1">
          <reference field="4294967294" count="1">
            <x v="9"/>
          </reference>
        </references>
      </pivotArea>
    </format>
    <format dxfId="3">
      <pivotArea outline="0" fieldPosition="0">
        <references count="1">
          <reference field="4294967294" count="1">
            <x v="11"/>
          </reference>
        </references>
      </pivotArea>
    </format>
    <format dxfId="2">
      <pivotArea outline="0" fieldPosition="0">
        <references count="1">
          <reference field="4294967294" count="1">
            <x v="10"/>
          </reference>
        </references>
      </pivotArea>
    </format>
    <format dxfId="1">
      <pivotArea dataOnly="0" labelOnly="1" outline="0" fieldPosition="0">
        <references count="1">
          <reference field="4294967294" count="6">
            <x v="6"/>
            <x v="7"/>
            <x v="8"/>
            <x v="9"/>
            <x v="10"/>
            <x v="11"/>
          </reference>
        </references>
      </pivotArea>
    </format>
    <format dxfId="0">
      <pivotArea field="0" type="button" dataOnly="0" labelOnly="1" outline="0" axis="axisRow" fieldPosition="0"/>
    </format>
  </formats>
  <pivotTableStyleInfo name="PivotStyleMedium3" showRowHeaders="1" showColHeaders="1" showRowStripes="1" showColStripes="0" showLastColumn="1"/>
  <extLst>
    <ext xmlns:x14="http://schemas.microsoft.com/office/spreadsheetml/2009/9/main" uri="{962EF5D1-5CA2-4c93-8EF4-DBF5C05439D2}">
      <x14:pivotTableDefinition xmlns:xm="http://schemas.microsoft.com/office/excel/2006/main" altText="Project totals PivotTable" altTextSummary="This PivotTable will list projects by name, as well as calculated values for all items on the PROJECT PARAMETERS worksheet, calculated by multiplying the hours duration on the PROJECT DETAILS sheet." hideValuesRow="1"/>
    </ext>
  </extLst>
</pivotTableDefinition>
</file>

<file path=xl/tables/table1.xml><?xml version="1.0" encoding="utf-8"?>
<table xmlns="http://schemas.openxmlformats.org/spreadsheetml/2006/main" id="1" name="tblParameters" displayName="tblParameters" ref="B7:I13" totalsRowShown="0" headerRowDxfId="64" dataDxfId="63" headerRowCellStyle="Normal">
  <autoFilter ref="B7:I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ROJECT TYPE" dataDxfId="62"/>
    <tableColumn id="2" name="GENERAL PARTNER" dataDxfId="61"/>
    <tableColumn id="3" name="BUSINESS LAWYER" dataDxfId="60"/>
    <tableColumn id="4" name="DEFENSE LITIGATOR" dataDxfId="59"/>
    <tableColumn id="5" name="INTELLECTUAL PROPERTY LAWYER" dataDxfId="58"/>
    <tableColumn id="6" name="BANKRUPTCY LAWYER" dataDxfId="57"/>
    <tableColumn id="7" name="ADMIN STAFF" dataDxfId="56"/>
    <tableColumn id="8" name="TOTAL" dataDxfId="55">
      <calculatedColumnFormula>SUM(tblParameters[[#This Row],[GENERAL PARTNER]:[ADMIN STAFF]])</calculatedColumnFormula>
    </tableColumn>
  </tableColumns>
  <tableStyleInfo name="TableStyleLight11" showFirstColumn="0" showLastColumn="0" showRowStripes="1" showColumnStripes="0"/>
  <extLst>
    <ext xmlns:x14="http://schemas.microsoft.com/office/spreadsheetml/2009/9/main" uri="{504A1905-F514-4f6f-8877-14C23A59335A}">
      <x14:table altText="Project parameters table" altTextSummary="Enter project parameter information in this table."/>
    </ext>
  </extLst>
</table>
</file>

<file path=xl/tables/table2.xml><?xml version="1.0" encoding="utf-8"?>
<table xmlns="http://schemas.openxmlformats.org/spreadsheetml/2006/main" id="2" name="tblDetails" displayName="tblDetails" ref="B6:W29" totalsRowCount="1" headerRowDxfId="54" dataCellStyle="Normal">
  <autoFilter ref="B6:W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22">
    <tableColumn id="1" name="PROJECT NAME" totalsRowLabel="TOTAL" totalsRowDxfId="53" dataCellStyle="Normal"/>
    <tableColumn id="2" name="PROJECT TYPE" totalsRowDxfId="52" dataCellStyle="Normal"/>
    <tableColumn id="3" name="ESTIMATED START" dataDxfId="51" totalsRowDxfId="50" dataCellStyle="Normal"/>
    <tableColumn id="4" name="ESTIMATED FINISH" dataDxfId="49" totalsRowDxfId="48" dataCellStyle="Normal"/>
    <tableColumn id="7" name="ACTUAL START" dataDxfId="47" totalsRowDxfId="46" dataCellStyle="Normal"/>
    <tableColumn id="8" name="ACTUAL FINISH" dataDxfId="45" totalsRowDxfId="44" dataCellStyle="Normal"/>
    <tableColumn id="5" name="ESTIMATED WORK" totalsRowFunction="sum" totalsRowDxfId="43" dataCellStyle="Normal"/>
    <tableColumn id="9" name="ACTUAL WORK" totalsRowFunction="sum" totalsRowDxfId="42" dataCellStyle="Normal"/>
    <tableColumn id="6" name="ESTIMATED DURATION" totalsRowFunction="sum" dataDxfId="41" totalsRowDxfId="40" dataCellStyle="Normal">
      <calculatedColumnFormula>DAYS360(tblDetails[[#This Row],[ESTIMATED START]],tblDetails[[#This Row],[ESTIMATED FINISH]],FALSE)</calculatedColumnFormula>
    </tableColumn>
    <tableColumn id="10" name="ACTUAL DURATION" totalsRowFunction="sum" dataDxfId="39" totalsRowDxfId="38" dataCellStyle="Normal">
      <calculatedColumnFormula>DAYS360(tblDetails[[#This Row],[ACTUAL START]],tblDetails[[#This Row],[ACTUAL FINISH]],FALSE)</calculatedColumnFormula>
    </tableColumn>
    <tableColumn id="11" name="GENERAL PARTNER" dataDxfId="37" totalsRowDxfId="36" dataCellStyle="Normal">
      <calculatedColumnFormula>INDEX(tblParameters[],MATCH(tblDetails[[#This Row],[PROJECT TYPE]],tblParameters[PROJECT TYPE],0),MATCH(tblDetails[[#Headers],[GENERAL PARTNER]],tblParameters[#Headers],0))*INDEX('PROJECT PARAMETERS'!$B$14:$H$14,1,MATCH(tblDetails[[#Headers],[GENERAL PARTNER]],tblParameters[#Headers],0))*tblDetails[[#This Row],[ESTIMATED WORK]]</calculatedColumnFormula>
    </tableColumn>
    <tableColumn id="12" name="BUSINESS LAWYER" dataDxfId="35" totalsRowDxfId="34" dataCellStyle="Normal">
      <calculatedColumnFormula>INDEX(tblParameters[],MATCH(tblDetails[[#This Row],[PROJECT TYPE]],tblParameters[PROJECT TYPE],0),MATCH(tblDetails[[#Headers],[BUSINESS LAWYER]],tblParameters[#Headers],0))*INDEX('PROJECT PARAMETERS'!$B$14:$H$14,1,MATCH(tblDetails[[#Headers],[BUSINESS LAWYER]],tblParameters[#Headers],0))*tblDetails[[#This Row],[ESTIMATED WORK]]</calculatedColumnFormula>
    </tableColumn>
    <tableColumn id="13" name="DEFENSE LITIGATOR" dataDxfId="33" totalsRowDxfId="32" dataCellStyle="Normal">
      <calculatedColumnFormula>INDEX(tblParameters[],MATCH(tblDetails[[#This Row],[PROJECT TYPE]],tblParameters[PROJECT TYPE],0),MATCH(tblDetails[[#Headers],[DEFENSE LITIGATOR]],tblParameters[#Headers],0))*INDEX('PROJECT PARAMETERS'!$B$14:$H$14,1,MATCH(tblDetails[[#Headers],[DEFENSE LITIGATOR]],tblParameters[#Headers],0))*tblDetails[[#This Row],[ESTIMATED WORK]]</calculatedColumnFormula>
    </tableColumn>
    <tableColumn id="14" name="INTELLECTUAL PROPERTY LAWYER" dataDxfId="31" totalsRowDxfId="30" dataCellStyle="Normal">
      <calculatedColumnFormula>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calculatedColumnFormula>
    </tableColumn>
    <tableColumn id="15" name="BANKRUPTCY LAWYER" dataDxfId="29" totalsRowDxfId="28" dataCellStyle="Normal">
      <calculatedColumnFormula>INDEX(tblParameters[],MATCH(tblDetails[[#This Row],[PROJECT TYPE]],tblParameters[PROJECT TYPE],0),MATCH(tblDetails[[#Headers],[BANKRUPTCY LAWYER]],tblParameters[#Headers],0))*INDEX('PROJECT PARAMETERS'!$B$14:$H$14,1,MATCH(tblDetails[[#Headers],[BANKRUPTCY LAWYER]],tblParameters[#Headers],0))*tblDetails[[#This Row],[ESTIMATED WORK]]</calculatedColumnFormula>
    </tableColumn>
    <tableColumn id="16" name="ADMIN STAFF" dataDxfId="27" totalsRowDxfId="26" dataCellStyle="Normal">
      <calculatedColumnFormula>INDEX(tblParameters[],MATCH(tblDetails[[#This Row],[PROJECT TYPE]],tblParameters[PROJECT TYPE],0),MATCH(tblDetails[[#Headers],[ADMIN STAFF]],tblParameters[#Headers],0))*INDEX('PROJECT PARAMETERS'!$B$14:$H$14,1,MATCH(tblDetails[[#Headers],[ADMIN STAFF]],tblParameters[#Headers],0))*tblDetails[[#This Row],[ESTIMATED WORK]]</calculatedColumnFormula>
    </tableColumn>
    <tableColumn id="17" name="GENERAL PARTNER 2" dataDxfId="25" totalsRowDxfId="24" dataCellStyle="Normal">
      <calculatedColumnFormula>INDEX(tblParameters[],MATCH(tblDetails[[#This Row],[PROJECT TYPE]],tblParameters[PROJECT TYPE],0),MATCH(tblDetails[[#Headers],[GENERAL PARTNER]],tblParameters[#Headers],0))*INDEX('PROJECT PARAMETERS'!$B$14:$H$14,1,MATCH(tblDetails[[#Headers],[GENERAL PARTNER]],tblParameters[#Headers],0))*tblDetails[[#This Row],[ACTUAL WORK]]</calculatedColumnFormula>
    </tableColumn>
    <tableColumn id="18" name="BUSINESS LAWYER 2" dataDxfId="23" totalsRowDxfId="22" dataCellStyle="Normal">
      <calculatedColumnFormula>INDEX(tblParameters[],MATCH(tblDetails[[#This Row],[PROJECT TYPE]],tblParameters[PROJECT TYPE],0),MATCH(tblDetails[[#Headers],[BUSINESS LAWYER]],tblParameters[#Headers],0))*INDEX('PROJECT PARAMETERS'!$B$14:$H$14,1,MATCH(tblDetails[[#Headers],[BUSINESS LAWYER]],tblParameters[#Headers],0))*tblDetails[[#This Row],[ACTUAL WORK]]</calculatedColumnFormula>
    </tableColumn>
    <tableColumn id="19" name="DEFENSE LITIGATOR 2" dataDxfId="21" totalsRowDxfId="20" dataCellStyle="Normal">
      <calculatedColumnFormula>INDEX(tblParameters[],MATCH(tblDetails[[#This Row],[PROJECT TYPE]],tblParameters[PROJECT TYPE],0),MATCH(tblDetails[[#Headers],[DEFENSE LITIGATOR]],tblParameters[#Headers],0))*INDEX('PROJECT PARAMETERS'!$B$14:$H$14,1,MATCH(tblDetails[[#Headers],[DEFENSE LITIGATOR]],tblParameters[#Headers],0))*tblDetails[[#This Row],[ACTUAL WORK]]</calculatedColumnFormula>
    </tableColumn>
    <tableColumn id="20" name="INTELLECTUAL PROPERTY LAWYER 2" dataDxfId="19" totalsRowDxfId="18" dataCellStyle="Normal">
      <calculatedColumnFormula>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calculatedColumnFormula>
    </tableColumn>
    <tableColumn id="21" name="BANKRUPTCY LAWYER 2" dataDxfId="17" totalsRowDxfId="16" dataCellStyle="Normal">
      <calculatedColumnFormula>INDEX(tblParameters[],MATCH(tblDetails[[#This Row],[PROJECT TYPE]],tblParameters[PROJECT TYPE],0),MATCH(tblDetails[[#Headers],[BANKRUPTCY LAWYER]],tblParameters[#Headers],0))*INDEX('PROJECT PARAMETERS'!$B$14:$H$14,1,MATCH(tblDetails[[#Headers],[BANKRUPTCY LAWYER]],tblParameters[#Headers],0))*tblDetails[[#This Row],[ACTUAL WORK]]</calculatedColumnFormula>
    </tableColumn>
    <tableColumn id="22" name="ADMIN STAFF 2" dataDxfId="15" totalsRowDxfId="14" dataCellStyle="Normal">
      <calculatedColumnFormula>INDEX(tblParameters[],MATCH(tblDetails[[#This Row],[PROJECT TYPE]],tblParameters[PROJECT TYPE],0),MATCH(tblDetails[[#Headers],[ADMIN STAFF]],tblParameters[#Headers],0))*INDEX('PROJECT PARAMETERS'!$B$14:$H$14,1,MATCH(tblDetails[[#Headers],[ADMIN STAFF]],tblParameters[#Headers],0))*tblDetails[[#This Row],[ACTUAL WORK]]</calculatedColumnFormula>
    </tableColumn>
  </tableColumns>
  <tableStyleInfo name="TableStyleMedium3" showFirstColumn="0" showLastColumn="0" showRowStripes="1" showColumnStripes="0"/>
  <extLst>
    <ext xmlns:x14="http://schemas.microsoft.com/office/spreadsheetml/2009/9/main" uri="{504A1905-F514-4f6f-8877-14C23A59335A}">
      <x14:table altText="Project details table" altTextSummary="Enter project names, type, estimated and actual start/finish dates, work hours, and durations wil be calculated for you."/>
    </ext>
  </extLst>
</table>
</file>

<file path=xl/theme/theme1.xml><?xml version="1.0" encoding="utf-8"?>
<a:theme xmlns:a="http://schemas.openxmlformats.org/drawingml/2006/main" name="MarketingProjectPlan">
  <a:themeElements>
    <a:clrScheme name="MarketingProjectPlan_colors">
      <a:dk1>
        <a:srgbClr val="000000"/>
      </a:dk1>
      <a:lt1>
        <a:srgbClr val="FFFFFF"/>
      </a:lt1>
      <a:dk2>
        <a:srgbClr val="636466"/>
      </a:dk2>
      <a:lt2>
        <a:srgbClr val="F2F2F2"/>
      </a:lt2>
      <a:accent1>
        <a:srgbClr val="BE870E"/>
      </a:accent1>
      <a:accent2>
        <a:srgbClr val="1A86B6"/>
      </a:accent2>
      <a:accent3>
        <a:srgbClr val="5F781B"/>
      </a:accent3>
      <a:accent4>
        <a:srgbClr val="C45808"/>
      </a:accent4>
      <a:accent5>
        <a:srgbClr val="6B3489"/>
      </a:accent5>
      <a:accent6>
        <a:srgbClr val="C2344E"/>
      </a:accent6>
      <a:hlink>
        <a:srgbClr val="3778A9"/>
      </a:hlink>
      <a:folHlink>
        <a:srgbClr val="6B3489"/>
      </a:folHlink>
    </a:clrScheme>
    <a:fontScheme name="Invoice with Sales Tax">
      <a:majorFont>
        <a:latin typeface="Tahoma"/>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autoPageBreaks="0" fitToPage="1"/>
  </sheetPr>
  <dimension ref="B1:I23"/>
  <sheetViews>
    <sheetView showGridLines="0" tabSelected="1" workbookViewId="0"/>
  </sheetViews>
  <sheetFormatPr defaultRowHeight="14.25" x14ac:dyDescent="0.2"/>
  <cols>
    <col min="1" max="1" width="1.85546875" style="5" customWidth="1"/>
    <col min="2" max="2" width="29.28515625" style="5" customWidth="1"/>
    <col min="3" max="3" width="21.42578125" style="5" bestFit="1" customWidth="1"/>
    <col min="4" max="4" width="20.85546875" style="5" bestFit="1" customWidth="1"/>
    <col min="5" max="5" width="22.42578125" style="5" bestFit="1" customWidth="1"/>
    <col min="6" max="6" width="21" style="5" bestFit="1" customWidth="1"/>
    <col min="7" max="7" width="14.5703125" style="5" bestFit="1" customWidth="1"/>
    <col min="8" max="8" width="15.42578125" style="5" bestFit="1" customWidth="1"/>
    <col min="9" max="9" width="7.85546875" style="5" bestFit="1" customWidth="1"/>
    <col min="10" max="16384" width="9.140625" style="5"/>
  </cols>
  <sheetData>
    <row r="1" spans="2:9" ht="9.9499999999999993" customHeight="1" x14ac:dyDescent="0.2"/>
    <row r="2" spans="2:9" ht="25.5" x14ac:dyDescent="0.35">
      <c r="B2" s="2" t="s">
        <v>0</v>
      </c>
      <c r="C2" s="2"/>
      <c r="D2" s="2"/>
      <c r="E2" s="2"/>
      <c r="F2" s="2"/>
      <c r="G2" s="2"/>
      <c r="H2" s="2"/>
      <c r="I2" s="2"/>
    </row>
    <row r="3" spans="2:9" ht="19.5" x14ac:dyDescent="0.25">
      <c r="B3" s="3" t="s">
        <v>76</v>
      </c>
      <c r="C3" s="3"/>
      <c r="D3" s="3"/>
      <c r="E3" s="3"/>
      <c r="F3" s="3"/>
      <c r="G3" s="3"/>
      <c r="H3" s="3"/>
      <c r="I3" s="3"/>
    </row>
    <row r="4" spans="2:9" ht="15" x14ac:dyDescent="0.2">
      <c r="B4" s="4" t="s">
        <v>1</v>
      </c>
      <c r="C4" s="4"/>
      <c r="D4" s="4"/>
      <c r="E4" s="4"/>
      <c r="F4" s="4"/>
      <c r="G4" s="4"/>
      <c r="H4" s="4"/>
      <c r="I4" s="4"/>
    </row>
    <row r="6" spans="2:9" x14ac:dyDescent="0.2">
      <c r="B6" s="9" t="s">
        <v>2</v>
      </c>
    </row>
    <row r="7" spans="2:9" ht="25.5" x14ac:dyDescent="0.2">
      <c r="B7" s="15" t="s">
        <v>30</v>
      </c>
      <c r="C7" s="15" t="s">
        <v>46</v>
      </c>
      <c r="D7" s="15" t="s">
        <v>47</v>
      </c>
      <c r="E7" s="15" t="s">
        <v>48</v>
      </c>
      <c r="F7" s="15" t="s">
        <v>49</v>
      </c>
      <c r="G7" s="15" t="s">
        <v>50</v>
      </c>
      <c r="H7" s="15" t="s">
        <v>38</v>
      </c>
      <c r="I7" s="15" t="s">
        <v>26</v>
      </c>
    </row>
    <row r="8" spans="2:9" x14ac:dyDescent="0.2">
      <c r="B8" s="5" t="s">
        <v>51</v>
      </c>
      <c r="C8" s="6">
        <v>0.1</v>
      </c>
      <c r="D8" s="6">
        <v>0.4</v>
      </c>
      <c r="E8" s="6">
        <v>0</v>
      </c>
      <c r="F8" s="6">
        <v>0</v>
      </c>
      <c r="G8" s="6">
        <v>0</v>
      </c>
      <c r="H8" s="6">
        <v>0.5</v>
      </c>
      <c r="I8" s="8">
        <f>SUM(tblParameters[[#This Row],[GENERAL PARTNER]:[ADMIN STAFF]])</f>
        <v>1</v>
      </c>
    </row>
    <row r="9" spans="2:9" x14ac:dyDescent="0.2">
      <c r="B9" s="5" t="s">
        <v>52</v>
      </c>
      <c r="C9" s="6">
        <v>0.1</v>
      </c>
      <c r="D9" s="6">
        <v>0.4</v>
      </c>
      <c r="E9" s="6">
        <v>0</v>
      </c>
      <c r="F9" s="6">
        <v>0.1</v>
      </c>
      <c r="G9" s="6">
        <v>0</v>
      </c>
      <c r="H9" s="6">
        <v>0.4</v>
      </c>
      <c r="I9" s="8">
        <f>SUM(tblParameters[[#This Row],[GENERAL PARTNER]:[ADMIN STAFF]])</f>
        <v>1</v>
      </c>
    </row>
    <row r="10" spans="2:9" x14ac:dyDescent="0.2">
      <c r="B10" s="5" t="s">
        <v>53</v>
      </c>
      <c r="C10" s="6">
        <v>0.2</v>
      </c>
      <c r="D10" s="6">
        <v>0</v>
      </c>
      <c r="E10" s="6">
        <v>0.5</v>
      </c>
      <c r="F10" s="6">
        <v>0</v>
      </c>
      <c r="G10" s="6">
        <v>0</v>
      </c>
      <c r="H10" s="6">
        <v>0.3</v>
      </c>
      <c r="I10" s="8">
        <f>SUM(tblParameters[[#This Row],[GENERAL PARTNER]:[ADMIN STAFF]])</f>
        <v>1</v>
      </c>
    </row>
    <row r="11" spans="2:9" x14ac:dyDescent="0.2">
      <c r="B11" s="5" t="s">
        <v>54</v>
      </c>
      <c r="C11" s="6">
        <v>0.1</v>
      </c>
      <c r="D11" s="6">
        <v>0</v>
      </c>
      <c r="E11" s="6">
        <v>0</v>
      </c>
      <c r="F11" s="6">
        <v>0.6</v>
      </c>
      <c r="G11" s="6">
        <v>0</v>
      </c>
      <c r="H11" s="6">
        <v>0.3</v>
      </c>
      <c r="I11" s="8">
        <f>SUM(tblParameters[[#This Row],[GENERAL PARTNER]:[ADMIN STAFF]])</f>
        <v>1</v>
      </c>
    </row>
    <row r="12" spans="2:9" x14ac:dyDescent="0.2">
      <c r="B12" s="5" t="s">
        <v>55</v>
      </c>
      <c r="C12" s="6">
        <v>0.2</v>
      </c>
      <c r="D12" s="6">
        <v>0.1</v>
      </c>
      <c r="E12" s="6">
        <v>0.4</v>
      </c>
      <c r="F12" s="6">
        <v>0</v>
      </c>
      <c r="G12" s="6">
        <v>0</v>
      </c>
      <c r="H12" s="6">
        <v>0.3</v>
      </c>
      <c r="I12" s="8">
        <f>SUM(tblParameters[[#This Row],[GENERAL PARTNER]:[ADMIN STAFF]])</f>
        <v>1</v>
      </c>
    </row>
    <row r="13" spans="2:9" x14ac:dyDescent="0.2">
      <c r="B13" s="5" t="s">
        <v>56</v>
      </c>
      <c r="C13" s="6">
        <v>0.1</v>
      </c>
      <c r="D13" s="6">
        <v>0.2</v>
      </c>
      <c r="E13" s="6">
        <v>0</v>
      </c>
      <c r="F13" s="6">
        <v>0</v>
      </c>
      <c r="G13" s="6">
        <v>0.4</v>
      </c>
      <c r="H13" s="6">
        <v>0.3</v>
      </c>
      <c r="I13" s="8">
        <f>SUM(tblParameters[[#This Row],[GENERAL PARTNER]:[ADMIN STAFF]])</f>
        <v>1</v>
      </c>
    </row>
    <row r="14" spans="2:9" x14ac:dyDescent="0.2">
      <c r="B14" s="5" t="s">
        <v>3</v>
      </c>
      <c r="C14" s="7">
        <v>350</v>
      </c>
      <c r="D14" s="7">
        <v>250</v>
      </c>
      <c r="E14" s="7">
        <v>300</v>
      </c>
      <c r="F14" s="7">
        <v>275</v>
      </c>
      <c r="G14" s="7">
        <v>225</v>
      </c>
      <c r="H14" s="7">
        <v>125</v>
      </c>
      <c r="I14" s="6"/>
    </row>
    <row r="16" spans="2:9" x14ac:dyDescent="0.2">
      <c r="B16" s="17"/>
      <c r="C16" s="17"/>
      <c r="D16" s="17"/>
      <c r="E16" s="17"/>
      <c r="F16" s="17"/>
      <c r="G16" s="17"/>
      <c r="H16" s="17"/>
      <c r="I16" s="17"/>
    </row>
    <row r="17" spans="2:9" x14ac:dyDescent="0.2">
      <c r="B17" s="17"/>
      <c r="C17" s="17" t="s">
        <v>46</v>
      </c>
      <c r="D17" s="17" t="s">
        <v>77</v>
      </c>
      <c r="E17" s="17" t="s">
        <v>48</v>
      </c>
      <c r="F17" s="17" t="s">
        <v>78</v>
      </c>
      <c r="G17" s="17" t="s">
        <v>79</v>
      </c>
      <c r="H17" s="17" t="s">
        <v>38</v>
      </c>
      <c r="I17" s="17"/>
    </row>
    <row r="18" spans="2:9" x14ac:dyDescent="0.2">
      <c r="B18" s="17" t="s">
        <v>42</v>
      </c>
      <c r="C18" s="18">
        <f>SUBTOTAL(109,tblDetails[GENERAL PARTNER])</f>
        <v>339675</v>
      </c>
      <c r="D18" s="18">
        <f>SUBTOTAL(109,tblDetails[BUSINESS LAWYER])</f>
        <v>305250</v>
      </c>
      <c r="E18" s="18">
        <f>SUBTOTAL(109,tblDetails[DEFENSE LITIGATOR])</f>
        <v>301500</v>
      </c>
      <c r="F18" s="18">
        <f>SUBTOTAL(109,tblDetails[INTELLECTUAL PROPERTY LAWYER])</f>
        <v>311300</v>
      </c>
      <c r="G18" s="18">
        <f>SUBTOTAL(109,tblDetails[BANKRUPTCY LAWYER])</f>
        <v>151200</v>
      </c>
      <c r="H18" s="18">
        <f>SUBTOTAL(109,tblDetails[ADMIN STAFF])</f>
        <v>320562.5</v>
      </c>
      <c r="I18" s="17"/>
    </row>
    <row r="19" spans="2:9" x14ac:dyDescent="0.2">
      <c r="B19" s="17" t="s">
        <v>44</v>
      </c>
      <c r="C19" s="18">
        <f>SUBTOTAL(109,tblDetails[GENERAL PARTNER 2])</f>
        <v>343000</v>
      </c>
      <c r="D19" s="18">
        <f>SUBTOTAL(109,tblDetails[BUSINESS LAWYER 2])</f>
        <v>311625</v>
      </c>
      <c r="E19" s="18">
        <f>SUBTOTAL(109,tblDetails[DEFENSE LITIGATOR 2])</f>
        <v>308250</v>
      </c>
      <c r="F19" s="18">
        <f>SUBTOTAL(109,tblDetails[INTELLECTUAL PROPERTY LAWYER 2])</f>
        <v>304975</v>
      </c>
      <c r="G19" s="18">
        <f>SUBTOTAL(109,tblDetails[BANKRUPTCY LAWYER 2])</f>
        <v>148050</v>
      </c>
      <c r="H19" s="18">
        <f>SUBTOTAL(109,tblDetails[ADMIN STAFF 2])</f>
        <v>323625</v>
      </c>
      <c r="I19" s="17"/>
    </row>
    <row r="20" spans="2:9" x14ac:dyDescent="0.2">
      <c r="B20" s="17" t="s">
        <v>43</v>
      </c>
      <c r="C20" s="19">
        <f>C18/$C$14</f>
        <v>970.5</v>
      </c>
      <c r="D20" s="19">
        <f t="shared" ref="D20:H20" si="0">D18/$C$14</f>
        <v>872.14285714285711</v>
      </c>
      <c r="E20" s="19">
        <f t="shared" si="0"/>
        <v>861.42857142857144</v>
      </c>
      <c r="F20" s="19">
        <f t="shared" si="0"/>
        <v>889.42857142857144</v>
      </c>
      <c r="G20" s="19">
        <f t="shared" si="0"/>
        <v>432</v>
      </c>
      <c r="H20" s="19">
        <f t="shared" si="0"/>
        <v>915.89285714285711</v>
      </c>
      <c r="I20" s="17"/>
    </row>
    <row r="21" spans="2:9" x14ac:dyDescent="0.2">
      <c r="B21" s="17" t="s">
        <v>45</v>
      </c>
      <c r="C21" s="19">
        <f>C19/$C$14</f>
        <v>980</v>
      </c>
      <c r="D21" s="19">
        <f>D19/$C$14</f>
        <v>890.35714285714289</v>
      </c>
      <c r="E21" s="19">
        <f>E19/$C$14</f>
        <v>880.71428571428567</v>
      </c>
      <c r="F21" s="19">
        <f>F19/$C$14</f>
        <v>871.35714285714289</v>
      </c>
      <c r="G21" s="19">
        <f>G19/$C$14</f>
        <v>423</v>
      </c>
      <c r="H21" s="19">
        <f>H19/$C$14</f>
        <v>924.64285714285711</v>
      </c>
      <c r="I21" s="17"/>
    </row>
    <row r="22" spans="2:9" x14ac:dyDescent="0.2">
      <c r="B22" s="21"/>
      <c r="C22" s="21"/>
      <c r="D22" s="21"/>
      <c r="E22" s="21"/>
      <c r="F22" s="21"/>
      <c r="G22" s="21"/>
      <c r="H22" s="21"/>
      <c r="I22" s="21"/>
    </row>
    <row r="23" spans="2:9" x14ac:dyDescent="0.2">
      <c r="B23" s="21"/>
      <c r="C23" s="21"/>
      <c r="D23" s="21"/>
      <c r="E23" s="21"/>
      <c r="F23" s="21"/>
      <c r="G23" s="21"/>
      <c r="H23" s="21"/>
      <c r="I23" s="21"/>
    </row>
  </sheetData>
  <printOptions horizontalCentered="1"/>
  <pageMargins left="0.4" right="0.4" top="0.4" bottom="0.4" header="0.3" footer="0.3"/>
  <pageSetup scale="82" orientation="landscape"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B1:W29"/>
  <sheetViews>
    <sheetView showGridLines="0" workbookViewId="0"/>
  </sheetViews>
  <sheetFormatPr defaultRowHeight="14.25" x14ac:dyDescent="0.2"/>
  <cols>
    <col min="1" max="1" width="1.85546875" style="1" customWidth="1"/>
    <col min="2" max="2" width="25.5703125" style="1" customWidth="1"/>
    <col min="3" max="3" width="23.85546875" style="1" customWidth="1"/>
    <col min="4" max="7" width="11.85546875" style="1" customWidth="1"/>
    <col min="8" max="8" width="11.140625" style="1" bestFit="1" customWidth="1"/>
    <col min="9" max="9" width="8.140625" style="1" bestFit="1" customWidth="1"/>
    <col min="10" max="10" width="11.140625" style="1" bestFit="1" customWidth="1"/>
    <col min="11" max="11" width="10.28515625" style="1" bestFit="1" customWidth="1"/>
    <col min="12" max="13" width="10" style="1" hidden="1" customWidth="1"/>
    <col min="14" max="14" width="10.28515625" style="1" hidden="1" customWidth="1"/>
    <col min="15" max="15" width="20.7109375" style="1" hidden="1" customWidth="1"/>
    <col min="16" max="16" width="14.85546875" style="1" hidden="1" customWidth="1"/>
    <col min="17" max="17" width="7.140625" style="1" hidden="1" customWidth="1"/>
    <col min="18" max="19" width="12.28515625" style="1" hidden="1" customWidth="1"/>
    <col min="20" max="20" width="12.5703125" style="1" hidden="1" customWidth="1"/>
    <col min="21" max="21" width="16.42578125" style="1" hidden="1" customWidth="1"/>
    <col min="22" max="22" width="14.5703125" style="1" hidden="1" customWidth="1"/>
    <col min="23" max="23" width="15.42578125" style="1" hidden="1" customWidth="1"/>
    <col min="24" max="16384" width="9.140625" style="1"/>
  </cols>
  <sheetData>
    <row r="1" spans="2:23" ht="9.9499999999999993" customHeight="1" x14ac:dyDescent="0.2"/>
    <row r="2" spans="2:23" ht="25.5" x14ac:dyDescent="0.35">
      <c r="B2" s="2" t="str">
        <f>'PROJECT PARAMETERS'!B2</f>
        <v>[Company Name]</v>
      </c>
      <c r="C2" s="2"/>
      <c r="D2" s="2"/>
      <c r="E2" s="2"/>
      <c r="F2" s="2"/>
      <c r="G2" s="2"/>
      <c r="H2" s="2"/>
      <c r="I2" s="2"/>
      <c r="J2" s="2"/>
      <c r="K2" s="2"/>
    </row>
    <row r="3" spans="2:23" ht="19.5" x14ac:dyDescent="0.25">
      <c r="B3" s="3" t="s">
        <v>76</v>
      </c>
      <c r="C3" s="3"/>
      <c r="D3" s="3"/>
      <c r="E3" s="3"/>
      <c r="F3" s="3"/>
      <c r="G3" s="3"/>
      <c r="H3" s="3"/>
      <c r="I3" s="3"/>
      <c r="J3" s="3"/>
      <c r="K3" s="3"/>
    </row>
    <row r="4" spans="2:23" ht="15" x14ac:dyDescent="0.2">
      <c r="B4" s="4" t="s">
        <v>1</v>
      </c>
      <c r="C4" s="4"/>
      <c r="D4" s="4"/>
      <c r="E4" s="4"/>
      <c r="F4" s="4"/>
      <c r="G4" s="4"/>
      <c r="H4" s="4"/>
      <c r="I4" s="4"/>
      <c r="J4" s="4"/>
      <c r="K4" s="4"/>
    </row>
    <row r="5" spans="2:23" x14ac:dyDescent="0.2">
      <c r="L5" s="22" t="s">
        <v>39</v>
      </c>
      <c r="M5" s="23"/>
      <c r="N5" s="23"/>
      <c r="O5" s="23"/>
      <c r="P5" s="23"/>
      <c r="Q5" s="24"/>
      <c r="R5" s="22" t="s">
        <v>40</v>
      </c>
      <c r="S5" s="23"/>
      <c r="T5" s="23"/>
      <c r="U5" s="23"/>
      <c r="V5" s="23"/>
      <c r="W5" s="24"/>
    </row>
    <row r="6" spans="2:23" ht="38.25" x14ac:dyDescent="0.2">
      <c r="B6" s="15" t="s">
        <v>29</v>
      </c>
      <c r="C6" s="15" t="s">
        <v>30</v>
      </c>
      <c r="D6" s="15" t="s">
        <v>31</v>
      </c>
      <c r="E6" s="15" t="s">
        <v>32</v>
      </c>
      <c r="F6" s="15" t="s">
        <v>27</v>
      </c>
      <c r="G6" s="15" t="s">
        <v>28</v>
      </c>
      <c r="H6" s="15" t="s">
        <v>33</v>
      </c>
      <c r="I6" s="15" t="s">
        <v>35</v>
      </c>
      <c r="J6" s="15" t="s">
        <v>34</v>
      </c>
      <c r="K6" s="15" t="s">
        <v>36</v>
      </c>
      <c r="L6" s="12" t="s">
        <v>46</v>
      </c>
      <c r="M6" s="12" t="s">
        <v>47</v>
      </c>
      <c r="N6" s="12" t="s">
        <v>48</v>
      </c>
      <c r="O6" s="12" t="s">
        <v>49</v>
      </c>
      <c r="P6" s="12" t="s">
        <v>50</v>
      </c>
      <c r="Q6" s="12" t="s">
        <v>38</v>
      </c>
      <c r="R6" s="10" t="s">
        <v>59</v>
      </c>
      <c r="S6" s="10" t="s">
        <v>60</v>
      </c>
      <c r="T6" s="10" t="s">
        <v>61</v>
      </c>
      <c r="U6" s="10" t="s">
        <v>67</v>
      </c>
      <c r="V6" s="10" t="s">
        <v>62</v>
      </c>
      <c r="W6" s="10" t="s">
        <v>63</v>
      </c>
    </row>
    <row r="7" spans="2:23" x14ac:dyDescent="0.2">
      <c r="B7" t="s">
        <v>4</v>
      </c>
      <c r="C7" t="s">
        <v>51</v>
      </c>
      <c r="D7" s="11">
        <v>41434</v>
      </c>
      <c r="E7" s="11">
        <v>41493</v>
      </c>
      <c r="F7" s="11">
        <v>41454</v>
      </c>
      <c r="G7" s="11">
        <v>41520</v>
      </c>
      <c r="H7">
        <v>200</v>
      </c>
      <c r="I7">
        <v>220</v>
      </c>
      <c r="J7">
        <f>DAYS360(tblDetails[[#This Row],[ESTIMATED START]],tblDetails[[#This Row],[ESTIMATED FINISH]],FALSE)</f>
        <v>58</v>
      </c>
      <c r="K7">
        <f>DAYS360(tblDetails[[#This Row],[ACTUAL START]],tblDetails[[#This Row],[ACTUAL FINISH]],FALSE)</f>
        <v>64</v>
      </c>
      <c r="L7" s="13">
        <f>INDEX(tblParameters[],MATCH(tblDetails[[#This Row],[PROJECT TYPE]],tblParameters[PROJECT TYPE],0),MATCH(tblDetails[[#Headers],[GENERAL PARTNER]],tblParameters[#Headers],0))*INDEX('PROJECT PARAMETERS'!$B$14:$H$14,1,MATCH(tblDetails[[#Headers],[GENERAL PARTNER]],tblParameters[#Headers],0))*tblDetails[[#This Row],[ESTIMATED WORK]]</f>
        <v>7000</v>
      </c>
      <c r="M7" s="13">
        <f>INDEX(tblParameters[],MATCH(tblDetails[[#This Row],[PROJECT TYPE]],tblParameters[PROJECT TYPE],0),MATCH(tblDetails[[#Headers],[BUSINESS LAWYER]],tblParameters[#Headers],0))*INDEX('PROJECT PARAMETERS'!$B$14:$H$14,1,MATCH(tblDetails[[#Headers],[BUSINESS LAWYER]],tblParameters[#Headers],0))*tblDetails[[#This Row],[ESTIMATED WORK]]</f>
        <v>20000</v>
      </c>
      <c r="N7" s="13">
        <f>INDEX(tblParameters[],MATCH(tblDetails[[#This Row],[PROJECT TYPE]],tblParameters[PROJECT TYPE],0),MATCH(tblDetails[[#Headers],[DEFENSE LITIGATOR]],tblParameters[#Headers],0))*INDEX('PROJECT PARAMETERS'!$B$14:$H$14,1,MATCH(tblDetails[[#Headers],[DEFENSE LITIGATOR]],tblParameters[#Headers],0))*tblDetails[[#This Row],[ESTIMATED WORK]]</f>
        <v>0</v>
      </c>
      <c r="O7"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7" s="13">
        <f>INDEX(tblParameters[],MATCH(tblDetails[[#This Row],[PROJECT TYPE]],tblParameters[PROJECT TYPE],0),MATCH(tblDetails[[#Headers],[BANKRUPTCY LAWYER]],tblParameters[#Headers],0))*INDEX('PROJECT PARAMETERS'!$B$14:$H$14,1,MATCH(tblDetails[[#Headers],[BANKRUPTCY LAWYER]],tblParameters[#Headers],0))*tblDetails[[#This Row],[ESTIMATED WORK]]</f>
        <v>0</v>
      </c>
      <c r="Q7" s="13">
        <f>INDEX(tblParameters[],MATCH(tblDetails[[#This Row],[PROJECT TYPE]],tblParameters[PROJECT TYPE],0),MATCH(tblDetails[[#Headers],[ADMIN STAFF]],tblParameters[#Headers],0))*INDEX('PROJECT PARAMETERS'!$B$14:$H$14,1,MATCH(tblDetails[[#Headers],[ADMIN STAFF]],tblParameters[#Headers],0))*tblDetails[[#This Row],[ESTIMATED WORK]]</f>
        <v>12500</v>
      </c>
      <c r="R7" s="13">
        <f>INDEX(tblParameters[],MATCH(tblDetails[[#This Row],[PROJECT TYPE]],tblParameters[PROJECT TYPE],0),MATCH(tblDetails[[#Headers],[GENERAL PARTNER]],tblParameters[#Headers],0))*INDEX('PROJECT PARAMETERS'!$B$14:$H$14,1,MATCH(tblDetails[[#Headers],[GENERAL PARTNER]],tblParameters[#Headers],0))*tblDetails[[#This Row],[ACTUAL WORK]]</f>
        <v>7700</v>
      </c>
      <c r="S7" s="13">
        <f>INDEX(tblParameters[],MATCH(tblDetails[[#This Row],[PROJECT TYPE]],tblParameters[PROJECT TYPE],0),MATCH(tblDetails[[#Headers],[BUSINESS LAWYER]],tblParameters[#Headers],0))*INDEX('PROJECT PARAMETERS'!$B$14:$H$14,1,MATCH(tblDetails[[#Headers],[BUSINESS LAWYER]],tblParameters[#Headers],0))*tblDetails[[#This Row],[ACTUAL WORK]]</f>
        <v>22000</v>
      </c>
      <c r="T7" s="13">
        <f>INDEX(tblParameters[],MATCH(tblDetails[[#This Row],[PROJECT TYPE]],tblParameters[PROJECT TYPE],0),MATCH(tblDetails[[#Headers],[DEFENSE LITIGATOR]],tblParameters[#Headers],0))*INDEX('PROJECT PARAMETERS'!$B$14:$H$14,1,MATCH(tblDetails[[#Headers],[DEFENSE LITIGATOR]],tblParameters[#Headers],0))*tblDetails[[#This Row],[ACTUAL WORK]]</f>
        <v>0</v>
      </c>
      <c r="U7"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7" s="13">
        <f>INDEX(tblParameters[],MATCH(tblDetails[[#This Row],[PROJECT TYPE]],tblParameters[PROJECT TYPE],0),MATCH(tblDetails[[#Headers],[BANKRUPTCY LAWYER]],tblParameters[#Headers],0))*INDEX('PROJECT PARAMETERS'!$B$14:$H$14,1,MATCH(tblDetails[[#Headers],[BANKRUPTCY LAWYER]],tblParameters[#Headers],0))*tblDetails[[#This Row],[ACTUAL WORK]]</f>
        <v>0</v>
      </c>
      <c r="W7" s="13">
        <f>INDEX(tblParameters[],MATCH(tblDetails[[#This Row],[PROJECT TYPE]],tblParameters[PROJECT TYPE],0),MATCH(tblDetails[[#Headers],[ADMIN STAFF]],tblParameters[#Headers],0))*INDEX('PROJECT PARAMETERS'!$B$14:$H$14,1,MATCH(tblDetails[[#Headers],[ADMIN STAFF]],tblParameters[#Headers],0))*tblDetails[[#This Row],[ACTUAL WORK]]</f>
        <v>13750</v>
      </c>
    </row>
    <row r="8" spans="2:23" x14ac:dyDescent="0.2">
      <c r="B8" t="s">
        <v>5</v>
      </c>
      <c r="C8" t="s">
        <v>52</v>
      </c>
      <c r="D8" s="11">
        <v>41450</v>
      </c>
      <c r="E8" s="11">
        <v>41482</v>
      </c>
      <c r="F8" s="11">
        <v>41470</v>
      </c>
      <c r="G8" s="11">
        <v>41511</v>
      </c>
      <c r="H8">
        <v>400</v>
      </c>
      <c r="I8">
        <v>390</v>
      </c>
      <c r="J8">
        <f>DAYS360(tblDetails[[#This Row],[ESTIMATED START]],tblDetails[[#This Row],[ESTIMATED FINISH]],FALSE)</f>
        <v>32</v>
      </c>
      <c r="K8">
        <f>DAYS360(tblDetails[[#This Row],[ACTUAL START]],tblDetails[[#This Row],[ACTUAL FINISH]],FALSE)</f>
        <v>40</v>
      </c>
      <c r="L8" s="13">
        <f>INDEX(tblParameters[],MATCH(tblDetails[[#This Row],[PROJECT TYPE]],tblParameters[PROJECT TYPE],0),MATCH(tblDetails[[#Headers],[GENERAL PARTNER]],tblParameters[#Headers],0))*INDEX('PROJECT PARAMETERS'!$B$14:$H$14,1,MATCH(tblDetails[[#Headers],[GENERAL PARTNER]],tblParameters[#Headers],0))*tblDetails[[#This Row],[ESTIMATED WORK]]</f>
        <v>14000</v>
      </c>
      <c r="M8" s="13">
        <f>INDEX(tblParameters[],MATCH(tblDetails[[#This Row],[PROJECT TYPE]],tblParameters[PROJECT TYPE],0),MATCH(tblDetails[[#Headers],[BUSINESS LAWYER]],tblParameters[#Headers],0))*INDEX('PROJECT PARAMETERS'!$B$14:$H$14,1,MATCH(tblDetails[[#Headers],[BUSINESS LAWYER]],tblParameters[#Headers],0))*tblDetails[[#This Row],[ESTIMATED WORK]]</f>
        <v>40000</v>
      </c>
      <c r="N8" s="13">
        <f>INDEX(tblParameters[],MATCH(tblDetails[[#This Row],[PROJECT TYPE]],tblParameters[PROJECT TYPE],0),MATCH(tblDetails[[#Headers],[DEFENSE LITIGATOR]],tblParameters[#Headers],0))*INDEX('PROJECT PARAMETERS'!$B$14:$H$14,1,MATCH(tblDetails[[#Headers],[DEFENSE LITIGATOR]],tblParameters[#Headers],0))*tblDetails[[#This Row],[ESTIMATED WORK]]</f>
        <v>0</v>
      </c>
      <c r="O8"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11000</v>
      </c>
      <c r="P8" s="13">
        <f>INDEX(tblParameters[],MATCH(tblDetails[[#This Row],[PROJECT TYPE]],tblParameters[PROJECT TYPE],0),MATCH(tblDetails[[#Headers],[BANKRUPTCY LAWYER]],tblParameters[#Headers],0))*INDEX('PROJECT PARAMETERS'!$B$14:$H$14,1,MATCH(tblDetails[[#Headers],[BANKRUPTCY LAWYER]],tblParameters[#Headers],0))*tblDetails[[#This Row],[ESTIMATED WORK]]</f>
        <v>0</v>
      </c>
      <c r="Q8" s="13">
        <f>INDEX(tblParameters[],MATCH(tblDetails[[#This Row],[PROJECT TYPE]],tblParameters[PROJECT TYPE],0),MATCH(tblDetails[[#Headers],[ADMIN STAFF]],tblParameters[#Headers],0))*INDEX('PROJECT PARAMETERS'!$B$14:$H$14,1,MATCH(tblDetails[[#Headers],[ADMIN STAFF]],tblParameters[#Headers],0))*tblDetails[[#This Row],[ESTIMATED WORK]]</f>
        <v>20000</v>
      </c>
      <c r="R8" s="13">
        <f>INDEX(tblParameters[],MATCH(tblDetails[[#This Row],[PROJECT TYPE]],tblParameters[PROJECT TYPE],0),MATCH(tblDetails[[#Headers],[GENERAL PARTNER]],tblParameters[#Headers],0))*INDEX('PROJECT PARAMETERS'!$B$14:$H$14,1,MATCH(tblDetails[[#Headers],[GENERAL PARTNER]],tblParameters[#Headers],0))*tblDetails[[#This Row],[ACTUAL WORK]]</f>
        <v>13650</v>
      </c>
      <c r="S8" s="13">
        <f>INDEX(tblParameters[],MATCH(tblDetails[[#This Row],[PROJECT TYPE]],tblParameters[PROJECT TYPE],0),MATCH(tblDetails[[#Headers],[BUSINESS LAWYER]],tblParameters[#Headers],0))*INDEX('PROJECT PARAMETERS'!$B$14:$H$14,1,MATCH(tblDetails[[#Headers],[BUSINESS LAWYER]],tblParameters[#Headers],0))*tblDetails[[#This Row],[ACTUAL WORK]]</f>
        <v>39000</v>
      </c>
      <c r="T8" s="13">
        <f>INDEX(tblParameters[],MATCH(tblDetails[[#This Row],[PROJECT TYPE]],tblParameters[PROJECT TYPE],0),MATCH(tblDetails[[#Headers],[DEFENSE LITIGATOR]],tblParameters[#Headers],0))*INDEX('PROJECT PARAMETERS'!$B$14:$H$14,1,MATCH(tblDetails[[#Headers],[DEFENSE LITIGATOR]],tblParameters[#Headers],0))*tblDetails[[#This Row],[ACTUAL WORK]]</f>
        <v>0</v>
      </c>
      <c r="U8"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10725</v>
      </c>
      <c r="V8" s="13">
        <f>INDEX(tblParameters[],MATCH(tblDetails[[#This Row],[PROJECT TYPE]],tblParameters[PROJECT TYPE],0),MATCH(tblDetails[[#Headers],[BANKRUPTCY LAWYER]],tblParameters[#Headers],0))*INDEX('PROJECT PARAMETERS'!$B$14:$H$14,1,MATCH(tblDetails[[#Headers],[BANKRUPTCY LAWYER]],tblParameters[#Headers],0))*tblDetails[[#This Row],[ACTUAL WORK]]</f>
        <v>0</v>
      </c>
      <c r="W8" s="13">
        <f>INDEX(tblParameters[],MATCH(tblDetails[[#This Row],[PROJECT TYPE]],tblParameters[PROJECT TYPE],0),MATCH(tblDetails[[#Headers],[ADMIN STAFF]],tblParameters[#Headers],0))*INDEX('PROJECT PARAMETERS'!$B$14:$H$14,1,MATCH(tblDetails[[#Headers],[ADMIN STAFF]],tblParameters[#Headers],0))*tblDetails[[#This Row],[ACTUAL WORK]]</f>
        <v>19500</v>
      </c>
    </row>
    <row r="9" spans="2:23" x14ac:dyDescent="0.2">
      <c r="B9" t="s">
        <v>6</v>
      </c>
      <c r="C9" t="s">
        <v>53</v>
      </c>
      <c r="D9" s="11">
        <v>41467</v>
      </c>
      <c r="E9" s="11">
        <v>41536</v>
      </c>
      <c r="F9" s="11">
        <v>41493</v>
      </c>
      <c r="G9" s="11">
        <v>41557</v>
      </c>
      <c r="H9">
        <v>500</v>
      </c>
      <c r="I9">
        <v>500</v>
      </c>
      <c r="J9">
        <f>DAYS360(tblDetails[[#This Row],[ESTIMATED START]],tblDetails[[#This Row],[ESTIMATED FINISH]],FALSE)</f>
        <v>67</v>
      </c>
      <c r="K9">
        <f>DAYS360(tblDetails[[#This Row],[ACTUAL START]],tblDetails[[#This Row],[ACTUAL FINISH]],FALSE)</f>
        <v>63</v>
      </c>
      <c r="L9" s="13">
        <f>INDEX(tblParameters[],MATCH(tblDetails[[#This Row],[PROJECT TYPE]],tblParameters[PROJECT TYPE],0),MATCH(tblDetails[[#Headers],[GENERAL PARTNER]],tblParameters[#Headers],0))*INDEX('PROJECT PARAMETERS'!$B$14:$H$14,1,MATCH(tblDetails[[#Headers],[GENERAL PARTNER]],tblParameters[#Headers],0))*tblDetails[[#This Row],[ESTIMATED WORK]]</f>
        <v>35000</v>
      </c>
      <c r="M9" s="13">
        <f>INDEX(tblParameters[],MATCH(tblDetails[[#This Row],[PROJECT TYPE]],tblParameters[PROJECT TYPE],0),MATCH(tblDetails[[#Headers],[BUSINESS LAWYER]],tblParameters[#Headers],0))*INDEX('PROJECT PARAMETERS'!$B$14:$H$14,1,MATCH(tblDetails[[#Headers],[BUSINESS LAWYER]],tblParameters[#Headers],0))*tblDetails[[#This Row],[ESTIMATED WORK]]</f>
        <v>0</v>
      </c>
      <c r="N9" s="13">
        <f>INDEX(tblParameters[],MATCH(tblDetails[[#This Row],[PROJECT TYPE]],tblParameters[PROJECT TYPE],0),MATCH(tblDetails[[#Headers],[DEFENSE LITIGATOR]],tblParameters[#Headers],0))*INDEX('PROJECT PARAMETERS'!$B$14:$H$14,1,MATCH(tblDetails[[#Headers],[DEFENSE LITIGATOR]],tblParameters[#Headers],0))*tblDetails[[#This Row],[ESTIMATED WORK]]</f>
        <v>75000</v>
      </c>
      <c r="O9"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9" s="13">
        <f>INDEX(tblParameters[],MATCH(tblDetails[[#This Row],[PROJECT TYPE]],tblParameters[PROJECT TYPE],0),MATCH(tblDetails[[#Headers],[BANKRUPTCY LAWYER]],tblParameters[#Headers],0))*INDEX('PROJECT PARAMETERS'!$B$14:$H$14,1,MATCH(tblDetails[[#Headers],[BANKRUPTCY LAWYER]],tblParameters[#Headers],0))*tblDetails[[#This Row],[ESTIMATED WORK]]</f>
        <v>0</v>
      </c>
      <c r="Q9" s="13">
        <f>INDEX(tblParameters[],MATCH(tblDetails[[#This Row],[PROJECT TYPE]],tblParameters[PROJECT TYPE],0),MATCH(tblDetails[[#Headers],[ADMIN STAFF]],tblParameters[#Headers],0))*INDEX('PROJECT PARAMETERS'!$B$14:$H$14,1,MATCH(tblDetails[[#Headers],[ADMIN STAFF]],tblParameters[#Headers],0))*tblDetails[[#This Row],[ESTIMATED WORK]]</f>
        <v>18750</v>
      </c>
      <c r="R9" s="13">
        <f>INDEX(tblParameters[],MATCH(tblDetails[[#This Row],[PROJECT TYPE]],tblParameters[PROJECT TYPE],0),MATCH(tblDetails[[#Headers],[GENERAL PARTNER]],tblParameters[#Headers],0))*INDEX('PROJECT PARAMETERS'!$B$14:$H$14,1,MATCH(tblDetails[[#Headers],[GENERAL PARTNER]],tblParameters[#Headers],0))*tblDetails[[#This Row],[ACTUAL WORK]]</f>
        <v>35000</v>
      </c>
      <c r="S9" s="13">
        <f>INDEX(tblParameters[],MATCH(tblDetails[[#This Row],[PROJECT TYPE]],tblParameters[PROJECT TYPE],0),MATCH(tblDetails[[#Headers],[BUSINESS LAWYER]],tblParameters[#Headers],0))*INDEX('PROJECT PARAMETERS'!$B$14:$H$14,1,MATCH(tblDetails[[#Headers],[BUSINESS LAWYER]],tblParameters[#Headers],0))*tblDetails[[#This Row],[ACTUAL WORK]]</f>
        <v>0</v>
      </c>
      <c r="T9" s="13">
        <f>INDEX(tblParameters[],MATCH(tblDetails[[#This Row],[PROJECT TYPE]],tblParameters[PROJECT TYPE],0),MATCH(tblDetails[[#Headers],[DEFENSE LITIGATOR]],tblParameters[#Headers],0))*INDEX('PROJECT PARAMETERS'!$B$14:$H$14,1,MATCH(tblDetails[[#Headers],[DEFENSE LITIGATOR]],tblParameters[#Headers],0))*tblDetails[[#This Row],[ACTUAL WORK]]</f>
        <v>75000</v>
      </c>
      <c r="U9"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9" s="13">
        <f>INDEX(tblParameters[],MATCH(tblDetails[[#This Row],[PROJECT TYPE]],tblParameters[PROJECT TYPE],0),MATCH(tblDetails[[#Headers],[BANKRUPTCY LAWYER]],tblParameters[#Headers],0))*INDEX('PROJECT PARAMETERS'!$B$14:$H$14,1,MATCH(tblDetails[[#Headers],[BANKRUPTCY LAWYER]],tblParameters[#Headers],0))*tblDetails[[#This Row],[ACTUAL WORK]]</f>
        <v>0</v>
      </c>
      <c r="W9" s="13">
        <f>INDEX(tblParameters[],MATCH(tblDetails[[#This Row],[PROJECT TYPE]],tblParameters[PROJECT TYPE],0),MATCH(tblDetails[[#Headers],[ADMIN STAFF]],tblParameters[#Headers],0))*INDEX('PROJECT PARAMETERS'!$B$14:$H$14,1,MATCH(tblDetails[[#Headers],[ADMIN STAFF]],tblParameters[#Headers],0))*tblDetails[[#This Row],[ACTUAL WORK]]</f>
        <v>18750</v>
      </c>
    </row>
    <row r="10" spans="2:23" x14ac:dyDescent="0.2">
      <c r="B10" t="s">
        <v>7</v>
      </c>
      <c r="C10" t="s">
        <v>54</v>
      </c>
      <c r="D10" s="11">
        <v>41485</v>
      </c>
      <c r="E10" s="11">
        <v>41545</v>
      </c>
      <c r="F10" s="11">
        <v>41531</v>
      </c>
      <c r="G10" s="11">
        <v>41591</v>
      </c>
      <c r="H10">
        <v>150</v>
      </c>
      <c r="I10">
        <v>145</v>
      </c>
      <c r="J10">
        <f>DAYS360(tblDetails[[#This Row],[ESTIMATED START]],tblDetails[[#This Row],[ESTIMATED FINISH]],FALSE)</f>
        <v>58</v>
      </c>
      <c r="K10">
        <f>DAYS360(tblDetails[[#This Row],[ACTUAL START]],tblDetails[[#This Row],[ACTUAL FINISH]],FALSE)</f>
        <v>59</v>
      </c>
      <c r="L10" s="13">
        <f>INDEX(tblParameters[],MATCH(tblDetails[[#This Row],[PROJECT TYPE]],tblParameters[PROJECT TYPE],0),MATCH(tblDetails[[#Headers],[GENERAL PARTNER]],tblParameters[#Headers],0))*INDEX('PROJECT PARAMETERS'!$B$14:$H$14,1,MATCH(tblDetails[[#Headers],[GENERAL PARTNER]],tblParameters[#Headers],0))*tblDetails[[#This Row],[ESTIMATED WORK]]</f>
        <v>5250</v>
      </c>
      <c r="M10" s="13">
        <f>INDEX(tblParameters[],MATCH(tblDetails[[#This Row],[PROJECT TYPE]],tblParameters[PROJECT TYPE],0),MATCH(tblDetails[[#Headers],[BUSINESS LAWYER]],tblParameters[#Headers],0))*INDEX('PROJECT PARAMETERS'!$B$14:$H$14,1,MATCH(tblDetails[[#Headers],[BUSINESS LAWYER]],tblParameters[#Headers],0))*tblDetails[[#This Row],[ESTIMATED WORK]]</f>
        <v>0</v>
      </c>
      <c r="N10"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0"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24750</v>
      </c>
      <c r="P10" s="13">
        <f>INDEX(tblParameters[],MATCH(tblDetails[[#This Row],[PROJECT TYPE]],tblParameters[PROJECT TYPE],0),MATCH(tblDetails[[#Headers],[BANKRUPTCY LAWYER]],tblParameters[#Headers],0))*INDEX('PROJECT PARAMETERS'!$B$14:$H$14,1,MATCH(tblDetails[[#Headers],[BANKRUPTCY LAWYER]],tblParameters[#Headers],0))*tblDetails[[#This Row],[ESTIMATED WORK]]</f>
        <v>0</v>
      </c>
      <c r="Q10" s="13">
        <f>INDEX(tblParameters[],MATCH(tblDetails[[#This Row],[PROJECT TYPE]],tblParameters[PROJECT TYPE],0),MATCH(tblDetails[[#Headers],[ADMIN STAFF]],tblParameters[#Headers],0))*INDEX('PROJECT PARAMETERS'!$B$14:$H$14,1,MATCH(tblDetails[[#Headers],[ADMIN STAFF]],tblParameters[#Headers],0))*tblDetails[[#This Row],[ESTIMATED WORK]]</f>
        <v>5625</v>
      </c>
      <c r="R10" s="13">
        <f>INDEX(tblParameters[],MATCH(tblDetails[[#This Row],[PROJECT TYPE]],tblParameters[PROJECT TYPE],0),MATCH(tblDetails[[#Headers],[GENERAL PARTNER]],tblParameters[#Headers],0))*INDEX('PROJECT PARAMETERS'!$B$14:$H$14,1,MATCH(tblDetails[[#Headers],[GENERAL PARTNER]],tblParameters[#Headers],0))*tblDetails[[#This Row],[ACTUAL WORK]]</f>
        <v>5075</v>
      </c>
      <c r="S10" s="13">
        <f>INDEX(tblParameters[],MATCH(tblDetails[[#This Row],[PROJECT TYPE]],tblParameters[PROJECT TYPE],0),MATCH(tblDetails[[#Headers],[BUSINESS LAWYER]],tblParameters[#Headers],0))*INDEX('PROJECT PARAMETERS'!$B$14:$H$14,1,MATCH(tblDetails[[#Headers],[BUSINESS LAWYER]],tblParameters[#Headers],0))*tblDetails[[#This Row],[ACTUAL WORK]]</f>
        <v>0</v>
      </c>
      <c r="T10" s="13">
        <f>INDEX(tblParameters[],MATCH(tblDetails[[#This Row],[PROJECT TYPE]],tblParameters[PROJECT TYPE],0),MATCH(tblDetails[[#Headers],[DEFENSE LITIGATOR]],tblParameters[#Headers],0))*INDEX('PROJECT PARAMETERS'!$B$14:$H$14,1,MATCH(tblDetails[[#Headers],[DEFENSE LITIGATOR]],tblParameters[#Headers],0))*tblDetails[[#This Row],[ACTUAL WORK]]</f>
        <v>0</v>
      </c>
      <c r="U10"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23925</v>
      </c>
      <c r="V10" s="13">
        <f>INDEX(tblParameters[],MATCH(tblDetails[[#This Row],[PROJECT TYPE]],tblParameters[PROJECT TYPE],0),MATCH(tblDetails[[#Headers],[BANKRUPTCY LAWYER]],tblParameters[#Headers],0))*INDEX('PROJECT PARAMETERS'!$B$14:$H$14,1,MATCH(tblDetails[[#Headers],[BANKRUPTCY LAWYER]],tblParameters[#Headers],0))*tblDetails[[#This Row],[ACTUAL WORK]]</f>
        <v>0</v>
      </c>
      <c r="W10" s="13">
        <f>INDEX(tblParameters[],MATCH(tblDetails[[#This Row],[PROJECT TYPE]],tblParameters[PROJECT TYPE],0),MATCH(tblDetails[[#Headers],[ADMIN STAFF]],tblParameters[#Headers],0))*INDEX('PROJECT PARAMETERS'!$B$14:$H$14,1,MATCH(tblDetails[[#Headers],[ADMIN STAFF]],tblParameters[#Headers],0))*tblDetails[[#This Row],[ACTUAL WORK]]</f>
        <v>5437.5</v>
      </c>
    </row>
    <row r="11" spans="2:23" x14ac:dyDescent="0.2">
      <c r="B11" t="s">
        <v>8</v>
      </c>
      <c r="C11" t="s">
        <v>55</v>
      </c>
      <c r="D11" s="11">
        <v>41497</v>
      </c>
      <c r="E11" s="11">
        <v>41507</v>
      </c>
      <c r="F11" s="11">
        <v>41531</v>
      </c>
      <c r="G11" s="11">
        <v>41542</v>
      </c>
      <c r="H11">
        <v>250</v>
      </c>
      <c r="I11">
        <v>255</v>
      </c>
      <c r="J11">
        <f>DAYS360(tblDetails[[#This Row],[ESTIMATED START]],tblDetails[[#This Row],[ESTIMATED FINISH]],FALSE)</f>
        <v>10</v>
      </c>
      <c r="K11">
        <f>DAYS360(tblDetails[[#This Row],[ACTUAL START]],tblDetails[[#This Row],[ACTUAL FINISH]],FALSE)</f>
        <v>11</v>
      </c>
      <c r="L11" s="13">
        <f>INDEX(tblParameters[],MATCH(tblDetails[[#This Row],[PROJECT TYPE]],tblParameters[PROJECT TYPE],0),MATCH(tblDetails[[#Headers],[GENERAL PARTNER]],tblParameters[#Headers],0))*INDEX('PROJECT PARAMETERS'!$B$14:$H$14,1,MATCH(tblDetails[[#Headers],[GENERAL PARTNER]],tblParameters[#Headers],0))*tblDetails[[#This Row],[ESTIMATED WORK]]</f>
        <v>17500</v>
      </c>
      <c r="M11" s="13">
        <f>INDEX(tblParameters[],MATCH(tblDetails[[#This Row],[PROJECT TYPE]],tblParameters[PROJECT TYPE],0),MATCH(tblDetails[[#Headers],[BUSINESS LAWYER]],tblParameters[#Headers],0))*INDEX('PROJECT PARAMETERS'!$B$14:$H$14,1,MATCH(tblDetails[[#Headers],[BUSINESS LAWYER]],tblParameters[#Headers],0))*tblDetails[[#This Row],[ESTIMATED WORK]]</f>
        <v>6250</v>
      </c>
      <c r="N11" s="13">
        <f>INDEX(tblParameters[],MATCH(tblDetails[[#This Row],[PROJECT TYPE]],tblParameters[PROJECT TYPE],0),MATCH(tblDetails[[#Headers],[DEFENSE LITIGATOR]],tblParameters[#Headers],0))*INDEX('PROJECT PARAMETERS'!$B$14:$H$14,1,MATCH(tblDetails[[#Headers],[DEFENSE LITIGATOR]],tblParameters[#Headers],0))*tblDetails[[#This Row],[ESTIMATED WORK]]</f>
        <v>30000</v>
      </c>
      <c r="O11"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11" s="13">
        <f>INDEX(tblParameters[],MATCH(tblDetails[[#This Row],[PROJECT TYPE]],tblParameters[PROJECT TYPE],0),MATCH(tblDetails[[#Headers],[BANKRUPTCY LAWYER]],tblParameters[#Headers],0))*INDEX('PROJECT PARAMETERS'!$B$14:$H$14,1,MATCH(tblDetails[[#Headers],[BANKRUPTCY LAWYER]],tblParameters[#Headers],0))*tblDetails[[#This Row],[ESTIMATED WORK]]</f>
        <v>0</v>
      </c>
      <c r="Q11" s="13">
        <f>INDEX(tblParameters[],MATCH(tblDetails[[#This Row],[PROJECT TYPE]],tblParameters[PROJECT TYPE],0),MATCH(tblDetails[[#Headers],[ADMIN STAFF]],tblParameters[#Headers],0))*INDEX('PROJECT PARAMETERS'!$B$14:$H$14,1,MATCH(tblDetails[[#Headers],[ADMIN STAFF]],tblParameters[#Headers],0))*tblDetails[[#This Row],[ESTIMATED WORK]]</f>
        <v>9375</v>
      </c>
      <c r="R11" s="13">
        <f>INDEX(tblParameters[],MATCH(tblDetails[[#This Row],[PROJECT TYPE]],tblParameters[PROJECT TYPE],0),MATCH(tblDetails[[#Headers],[GENERAL PARTNER]],tblParameters[#Headers],0))*INDEX('PROJECT PARAMETERS'!$B$14:$H$14,1,MATCH(tblDetails[[#Headers],[GENERAL PARTNER]],tblParameters[#Headers],0))*tblDetails[[#This Row],[ACTUAL WORK]]</f>
        <v>17850</v>
      </c>
      <c r="S11" s="13">
        <f>INDEX(tblParameters[],MATCH(tblDetails[[#This Row],[PROJECT TYPE]],tblParameters[PROJECT TYPE],0),MATCH(tblDetails[[#Headers],[BUSINESS LAWYER]],tblParameters[#Headers],0))*INDEX('PROJECT PARAMETERS'!$B$14:$H$14,1,MATCH(tblDetails[[#Headers],[BUSINESS LAWYER]],tblParameters[#Headers],0))*tblDetails[[#This Row],[ACTUAL WORK]]</f>
        <v>6375</v>
      </c>
      <c r="T11" s="13">
        <f>INDEX(tblParameters[],MATCH(tblDetails[[#This Row],[PROJECT TYPE]],tblParameters[PROJECT TYPE],0),MATCH(tblDetails[[#Headers],[DEFENSE LITIGATOR]],tblParameters[#Headers],0))*INDEX('PROJECT PARAMETERS'!$B$14:$H$14,1,MATCH(tblDetails[[#Headers],[DEFENSE LITIGATOR]],tblParameters[#Headers],0))*tblDetails[[#This Row],[ACTUAL WORK]]</f>
        <v>30600</v>
      </c>
      <c r="U11"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11" s="13">
        <f>INDEX(tblParameters[],MATCH(tblDetails[[#This Row],[PROJECT TYPE]],tblParameters[PROJECT TYPE],0),MATCH(tblDetails[[#Headers],[BANKRUPTCY LAWYER]],tblParameters[#Headers],0))*INDEX('PROJECT PARAMETERS'!$B$14:$H$14,1,MATCH(tblDetails[[#Headers],[BANKRUPTCY LAWYER]],tblParameters[#Headers],0))*tblDetails[[#This Row],[ACTUAL WORK]]</f>
        <v>0</v>
      </c>
      <c r="W11" s="13">
        <f>INDEX(tblParameters[],MATCH(tblDetails[[#This Row],[PROJECT TYPE]],tblParameters[PROJECT TYPE],0),MATCH(tblDetails[[#Headers],[ADMIN STAFF]],tblParameters[#Headers],0))*INDEX('PROJECT PARAMETERS'!$B$14:$H$14,1,MATCH(tblDetails[[#Headers],[ADMIN STAFF]],tblParameters[#Headers],0))*tblDetails[[#This Row],[ACTUAL WORK]]</f>
        <v>9562.5</v>
      </c>
    </row>
    <row r="12" spans="2:23" x14ac:dyDescent="0.2">
      <c r="B12" t="s">
        <v>9</v>
      </c>
      <c r="C12" t="s">
        <v>56</v>
      </c>
      <c r="D12" s="11">
        <v>41508</v>
      </c>
      <c r="E12" s="11">
        <v>41549</v>
      </c>
      <c r="F12" s="11">
        <v>41545</v>
      </c>
      <c r="G12" s="11">
        <v>41574</v>
      </c>
      <c r="H12">
        <v>300</v>
      </c>
      <c r="I12">
        <v>310</v>
      </c>
      <c r="J12">
        <f>DAYS360(tblDetails[[#This Row],[ESTIMATED START]],tblDetails[[#This Row],[ESTIMATED FINISH]],FALSE)</f>
        <v>40</v>
      </c>
      <c r="K12">
        <f>DAYS360(tblDetails[[#This Row],[ACTUAL START]],tblDetails[[#This Row],[ACTUAL FINISH]],FALSE)</f>
        <v>29</v>
      </c>
      <c r="L12" s="13">
        <f>INDEX(tblParameters[],MATCH(tblDetails[[#This Row],[PROJECT TYPE]],tblParameters[PROJECT TYPE],0),MATCH(tblDetails[[#Headers],[GENERAL PARTNER]],tblParameters[#Headers],0))*INDEX('PROJECT PARAMETERS'!$B$14:$H$14,1,MATCH(tblDetails[[#Headers],[GENERAL PARTNER]],tblParameters[#Headers],0))*tblDetails[[#This Row],[ESTIMATED WORK]]</f>
        <v>10500</v>
      </c>
      <c r="M12" s="13">
        <f>INDEX(tblParameters[],MATCH(tblDetails[[#This Row],[PROJECT TYPE]],tblParameters[PROJECT TYPE],0),MATCH(tblDetails[[#Headers],[BUSINESS LAWYER]],tblParameters[#Headers],0))*INDEX('PROJECT PARAMETERS'!$B$14:$H$14,1,MATCH(tblDetails[[#Headers],[BUSINESS LAWYER]],tblParameters[#Headers],0))*tblDetails[[#This Row],[ESTIMATED WORK]]</f>
        <v>15000</v>
      </c>
      <c r="N12"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2"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12" s="13">
        <f>INDEX(tblParameters[],MATCH(tblDetails[[#This Row],[PROJECT TYPE]],tblParameters[PROJECT TYPE],0),MATCH(tblDetails[[#Headers],[BANKRUPTCY LAWYER]],tblParameters[#Headers],0))*INDEX('PROJECT PARAMETERS'!$B$14:$H$14,1,MATCH(tblDetails[[#Headers],[BANKRUPTCY LAWYER]],tblParameters[#Headers],0))*tblDetails[[#This Row],[ESTIMATED WORK]]</f>
        <v>27000</v>
      </c>
      <c r="Q12" s="13">
        <f>INDEX(tblParameters[],MATCH(tblDetails[[#This Row],[PROJECT TYPE]],tblParameters[PROJECT TYPE],0),MATCH(tblDetails[[#Headers],[ADMIN STAFF]],tblParameters[#Headers],0))*INDEX('PROJECT PARAMETERS'!$B$14:$H$14,1,MATCH(tblDetails[[#Headers],[ADMIN STAFF]],tblParameters[#Headers],0))*tblDetails[[#This Row],[ESTIMATED WORK]]</f>
        <v>11250</v>
      </c>
      <c r="R12" s="13">
        <f>INDEX(tblParameters[],MATCH(tblDetails[[#This Row],[PROJECT TYPE]],tblParameters[PROJECT TYPE],0),MATCH(tblDetails[[#Headers],[GENERAL PARTNER]],tblParameters[#Headers],0))*INDEX('PROJECT PARAMETERS'!$B$14:$H$14,1,MATCH(tblDetails[[#Headers],[GENERAL PARTNER]],tblParameters[#Headers],0))*tblDetails[[#This Row],[ACTUAL WORK]]</f>
        <v>10850</v>
      </c>
      <c r="S12" s="13">
        <f>INDEX(tblParameters[],MATCH(tblDetails[[#This Row],[PROJECT TYPE]],tblParameters[PROJECT TYPE],0),MATCH(tblDetails[[#Headers],[BUSINESS LAWYER]],tblParameters[#Headers],0))*INDEX('PROJECT PARAMETERS'!$B$14:$H$14,1,MATCH(tblDetails[[#Headers],[BUSINESS LAWYER]],tblParameters[#Headers],0))*tblDetails[[#This Row],[ACTUAL WORK]]</f>
        <v>15500</v>
      </c>
      <c r="T12" s="13">
        <f>INDEX(tblParameters[],MATCH(tblDetails[[#This Row],[PROJECT TYPE]],tblParameters[PROJECT TYPE],0),MATCH(tblDetails[[#Headers],[DEFENSE LITIGATOR]],tblParameters[#Headers],0))*INDEX('PROJECT PARAMETERS'!$B$14:$H$14,1,MATCH(tblDetails[[#Headers],[DEFENSE LITIGATOR]],tblParameters[#Headers],0))*tblDetails[[#This Row],[ACTUAL WORK]]</f>
        <v>0</v>
      </c>
      <c r="U12"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12" s="13">
        <f>INDEX(tblParameters[],MATCH(tblDetails[[#This Row],[PROJECT TYPE]],tblParameters[PROJECT TYPE],0),MATCH(tblDetails[[#Headers],[BANKRUPTCY LAWYER]],tblParameters[#Headers],0))*INDEX('PROJECT PARAMETERS'!$B$14:$H$14,1,MATCH(tblDetails[[#Headers],[BANKRUPTCY LAWYER]],tblParameters[#Headers],0))*tblDetails[[#This Row],[ACTUAL WORK]]</f>
        <v>27900</v>
      </c>
      <c r="W12" s="13">
        <f>INDEX(tblParameters[],MATCH(tblDetails[[#This Row],[PROJECT TYPE]],tblParameters[PROJECT TYPE],0),MATCH(tblDetails[[#Headers],[ADMIN STAFF]],tblParameters[#Headers],0))*INDEX('PROJECT PARAMETERS'!$B$14:$H$14,1,MATCH(tblDetails[[#Headers],[ADMIN STAFF]],tblParameters[#Headers],0))*tblDetails[[#This Row],[ACTUAL WORK]]</f>
        <v>11625</v>
      </c>
    </row>
    <row r="13" spans="2:23" x14ac:dyDescent="0.2">
      <c r="B13" t="s">
        <v>10</v>
      </c>
      <c r="C13" t="s">
        <v>51</v>
      </c>
      <c r="D13" s="11">
        <v>41530</v>
      </c>
      <c r="E13" s="11">
        <v>41540</v>
      </c>
      <c r="F13" s="11">
        <v>41573</v>
      </c>
      <c r="G13" s="11">
        <v>41560</v>
      </c>
      <c r="H13">
        <v>500</v>
      </c>
      <c r="I13">
        <v>510</v>
      </c>
      <c r="J13">
        <f>DAYS360(tblDetails[[#This Row],[ESTIMATED START]],tblDetails[[#This Row],[ESTIMATED FINISH]],FALSE)</f>
        <v>10</v>
      </c>
      <c r="K13">
        <f>DAYS360(tblDetails[[#This Row],[ACTUAL START]],tblDetails[[#This Row],[ACTUAL FINISH]],FALSE)</f>
        <v>-13</v>
      </c>
      <c r="L13" s="13">
        <f>INDEX(tblParameters[],MATCH(tblDetails[[#This Row],[PROJECT TYPE]],tblParameters[PROJECT TYPE],0),MATCH(tblDetails[[#Headers],[GENERAL PARTNER]],tblParameters[#Headers],0))*INDEX('PROJECT PARAMETERS'!$B$14:$H$14,1,MATCH(tblDetails[[#Headers],[GENERAL PARTNER]],tblParameters[#Headers],0))*tblDetails[[#This Row],[ESTIMATED WORK]]</f>
        <v>17500</v>
      </c>
      <c r="M13" s="13">
        <f>INDEX(tblParameters[],MATCH(tblDetails[[#This Row],[PROJECT TYPE]],tblParameters[PROJECT TYPE],0),MATCH(tblDetails[[#Headers],[BUSINESS LAWYER]],tblParameters[#Headers],0))*INDEX('PROJECT PARAMETERS'!$B$14:$H$14,1,MATCH(tblDetails[[#Headers],[BUSINESS LAWYER]],tblParameters[#Headers],0))*tblDetails[[#This Row],[ESTIMATED WORK]]</f>
        <v>50000</v>
      </c>
      <c r="N13"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3"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13" s="13">
        <f>INDEX(tblParameters[],MATCH(tblDetails[[#This Row],[PROJECT TYPE]],tblParameters[PROJECT TYPE],0),MATCH(tblDetails[[#Headers],[BANKRUPTCY LAWYER]],tblParameters[#Headers],0))*INDEX('PROJECT PARAMETERS'!$B$14:$H$14,1,MATCH(tblDetails[[#Headers],[BANKRUPTCY LAWYER]],tblParameters[#Headers],0))*tblDetails[[#This Row],[ESTIMATED WORK]]</f>
        <v>0</v>
      </c>
      <c r="Q13" s="13">
        <f>INDEX(tblParameters[],MATCH(tblDetails[[#This Row],[PROJECT TYPE]],tblParameters[PROJECT TYPE],0),MATCH(tblDetails[[#Headers],[ADMIN STAFF]],tblParameters[#Headers],0))*INDEX('PROJECT PARAMETERS'!$B$14:$H$14,1,MATCH(tblDetails[[#Headers],[ADMIN STAFF]],tblParameters[#Headers],0))*tblDetails[[#This Row],[ESTIMATED WORK]]</f>
        <v>31250</v>
      </c>
      <c r="R13" s="13">
        <f>INDEX(tblParameters[],MATCH(tblDetails[[#This Row],[PROJECT TYPE]],tblParameters[PROJECT TYPE],0),MATCH(tblDetails[[#Headers],[GENERAL PARTNER]],tblParameters[#Headers],0))*INDEX('PROJECT PARAMETERS'!$B$14:$H$14,1,MATCH(tblDetails[[#Headers],[GENERAL PARTNER]],tblParameters[#Headers],0))*tblDetails[[#This Row],[ACTUAL WORK]]</f>
        <v>17850</v>
      </c>
      <c r="S13" s="13">
        <f>INDEX(tblParameters[],MATCH(tblDetails[[#This Row],[PROJECT TYPE]],tblParameters[PROJECT TYPE],0),MATCH(tblDetails[[#Headers],[BUSINESS LAWYER]],tblParameters[#Headers],0))*INDEX('PROJECT PARAMETERS'!$B$14:$H$14,1,MATCH(tblDetails[[#Headers],[BUSINESS LAWYER]],tblParameters[#Headers],0))*tblDetails[[#This Row],[ACTUAL WORK]]</f>
        <v>51000</v>
      </c>
      <c r="T13" s="13">
        <f>INDEX(tblParameters[],MATCH(tblDetails[[#This Row],[PROJECT TYPE]],tblParameters[PROJECT TYPE],0),MATCH(tblDetails[[#Headers],[DEFENSE LITIGATOR]],tblParameters[#Headers],0))*INDEX('PROJECT PARAMETERS'!$B$14:$H$14,1,MATCH(tblDetails[[#Headers],[DEFENSE LITIGATOR]],tblParameters[#Headers],0))*tblDetails[[#This Row],[ACTUAL WORK]]</f>
        <v>0</v>
      </c>
      <c r="U13"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13" s="13">
        <f>INDEX(tblParameters[],MATCH(tblDetails[[#This Row],[PROJECT TYPE]],tblParameters[PROJECT TYPE],0),MATCH(tblDetails[[#Headers],[BANKRUPTCY LAWYER]],tblParameters[#Headers],0))*INDEX('PROJECT PARAMETERS'!$B$14:$H$14,1,MATCH(tblDetails[[#Headers],[BANKRUPTCY LAWYER]],tblParameters[#Headers],0))*tblDetails[[#This Row],[ACTUAL WORK]]</f>
        <v>0</v>
      </c>
      <c r="W13" s="13">
        <f>INDEX(tblParameters[],MATCH(tblDetails[[#This Row],[PROJECT TYPE]],tblParameters[PROJECT TYPE],0),MATCH(tblDetails[[#Headers],[ADMIN STAFF]],tblParameters[#Headers],0))*INDEX('PROJECT PARAMETERS'!$B$14:$H$14,1,MATCH(tblDetails[[#Headers],[ADMIN STAFF]],tblParameters[#Headers],0))*tblDetails[[#This Row],[ACTUAL WORK]]</f>
        <v>31875</v>
      </c>
    </row>
    <row r="14" spans="2:23" x14ac:dyDescent="0.2">
      <c r="B14" t="s">
        <v>11</v>
      </c>
      <c r="C14" t="s">
        <v>53</v>
      </c>
      <c r="D14" s="11">
        <v>41538</v>
      </c>
      <c r="E14" s="11">
        <v>41562</v>
      </c>
      <c r="F14" s="11">
        <v>41570</v>
      </c>
      <c r="G14" s="11">
        <v>41596</v>
      </c>
      <c r="H14">
        <v>750</v>
      </c>
      <c r="I14">
        <v>790</v>
      </c>
      <c r="J14">
        <f>DAYS360(tblDetails[[#This Row],[ESTIMATED START]],tblDetails[[#This Row],[ESTIMATED FINISH]],FALSE)</f>
        <v>24</v>
      </c>
      <c r="K14">
        <f>DAYS360(tblDetails[[#This Row],[ACTUAL START]],tblDetails[[#This Row],[ACTUAL FINISH]],FALSE)</f>
        <v>25</v>
      </c>
      <c r="L14" s="13">
        <f>INDEX(tblParameters[],MATCH(tblDetails[[#This Row],[PROJECT TYPE]],tblParameters[PROJECT TYPE],0),MATCH(tblDetails[[#Headers],[GENERAL PARTNER]],tblParameters[#Headers],0))*INDEX('PROJECT PARAMETERS'!$B$14:$H$14,1,MATCH(tblDetails[[#Headers],[GENERAL PARTNER]],tblParameters[#Headers],0))*tblDetails[[#This Row],[ESTIMATED WORK]]</f>
        <v>52500</v>
      </c>
      <c r="M14" s="13">
        <f>INDEX(tblParameters[],MATCH(tblDetails[[#This Row],[PROJECT TYPE]],tblParameters[PROJECT TYPE],0),MATCH(tblDetails[[#Headers],[BUSINESS LAWYER]],tblParameters[#Headers],0))*INDEX('PROJECT PARAMETERS'!$B$14:$H$14,1,MATCH(tblDetails[[#Headers],[BUSINESS LAWYER]],tblParameters[#Headers],0))*tblDetails[[#This Row],[ESTIMATED WORK]]</f>
        <v>0</v>
      </c>
      <c r="N14" s="13">
        <f>INDEX(tblParameters[],MATCH(tblDetails[[#This Row],[PROJECT TYPE]],tblParameters[PROJECT TYPE],0),MATCH(tblDetails[[#Headers],[DEFENSE LITIGATOR]],tblParameters[#Headers],0))*INDEX('PROJECT PARAMETERS'!$B$14:$H$14,1,MATCH(tblDetails[[#Headers],[DEFENSE LITIGATOR]],tblParameters[#Headers],0))*tblDetails[[#This Row],[ESTIMATED WORK]]</f>
        <v>112500</v>
      </c>
      <c r="O14"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14" s="13">
        <f>INDEX(tblParameters[],MATCH(tblDetails[[#This Row],[PROJECT TYPE]],tblParameters[PROJECT TYPE],0),MATCH(tblDetails[[#Headers],[BANKRUPTCY LAWYER]],tblParameters[#Headers],0))*INDEX('PROJECT PARAMETERS'!$B$14:$H$14,1,MATCH(tblDetails[[#Headers],[BANKRUPTCY LAWYER]],tblParameters[#Headers],0))*tblDetails[[#This Row],[ESTIMATED WORK]]</f>
        <v>0</v>
      </c>
      <c r="Q14" s="13">
        <f>INDEX(tblParameters[],MATCH(tblDetails[[#This Row],[PROJECT TYPE]],tblParameters[PROJECT TYPE],0),MATCH(tblDetails[[#Headers],[ADMIN STAFF]],tblParameters[#Headers],0))*INDEX('PROJECT PARAMETERS'!$B$14:$H$14,1,MATCH(tblDetails[[#Headers],[ADMIN STAFF]],tblParameters[#Headers],0))*tblDetails[[#This Row],[ESTIMATED WORK]]</f>
        <v>28125</v>
      </c>
      <c r="R14" s="13">
        <f>INDEX(tblParameters[],MATCH(tblDetails[[#This Row],[PROJECT TYPE]],tblParameters[PROJECT TYPE],0),MATCH(tblDetails[[#Headers],[GENERAL PARTNER]],tblParameters[#Headers],0))*INDEX('PROJECT PARAMETERS'!$B$14:$H$14,1,MATCH(tblDetails[[#Headers],[GENERAL PARTNER]],tblParameters[#Headers],0))*tblDetails[[#This Row],[ACTUAL WORK]]</f>
        <v>55300</v>
      </c>
      <c r="S14" s="13">
        <f>INDEX(tblParameters[],MATCH(tblDetails[[#This Row],[PROJECT TYPE]],tblParameters[PROJECT TYPE],0),MATCH(tblDetails[[#Headers],[BUSINESS LAWYER]],tblParameters[#Headers],0))*INDEX('PROJECT PARAMETERS'!$B$14:$H$14,1,MATCH(tblDetails[[#Headers],[BUSINESS LAWYER]],tblParameters[#Headers],0))*tblDetails[[#This Row],[ACTUAL WORK]]</f>
        <v>0</v>
      </c>
      <c r="T14" s="13">
        <f>INDEX(tblParameters[],MATCH(tblDetails[[#This Row],[PROJECT TYPE]],tblParameters[PROJECT TYPE],0),MATCH(tblDetails[[#Headers],[DEFENSE LITIGATOR]],tblParameters[#Headers],0))*INDEX('PROJECT PARAMETERS'!$B$14:$H$14,1,MATCH(tblDetails[[#Headers],[DEFENSE LITIGATOR]],tblParameters[#Headers],0))*tblDetails[[#This Row],[ACTUAL WORK]]</f>
        <v>118500</v>
      </c>
      <c r="U14"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14" s="13">
        <f>INDEX(tblParameters[],MATCH(tblDetails[[#This Row],[PROJECT TYPE]],tblParameters[PROJECT TYPE],0),MATCH(tblDetails[[#Headers],[BANKRUPTCY LAWYER]],tblParameters[#Headers],0))*INDEX('PROJECT PARAMETERS'!$B$14:$H$14,1,MATCH(tblDetails[[#Headers],[BANKRUPTCY LAWYER]],tblParameters[#Headers],0))*tblDetails[[#This Row],[ACTUAL WORK]]</f>
        <v>0</v>
      </c>
      <c r="W14" s="13">
        <f>INDEX(tblParameters[],MATCH(tblDetails[[#This Row],[PROJECT TYPE]],tblParameters[PROJECT TYPE],0),MATCH(tblDetails[[#Headers],[ADMIN STAFF]],tblParameters[#Headers],0))*INDEX('PROJECT PARAMETERS'!$B$14:$H$14,1,MATCH(tblDetails[[#Headers],[ADMIN STAFF]],tblParameters[#Headers],0))*tblDetails[[#This Row],[ACTUAL WORK]]</f>
        <v>29625</v>
      </c>
    </row>
    <row r="15" spans="2:23" x14ac:dyDescent="0.2">
      <c r="B15" t="s">
        <v>12</v>
      </c>
      <c r="C15" t="s">
        <v>54</v>
      </c>
      <c r="D15" s="11">
        <v>41562</v>
      </c>
      <c r="E15" s="11">
        <v>41603</v>
      </c>
      <c r="F15" s="11">
        <v>41608</v>
      </c>
      <c r="G15" s="11">
        <v>41649</v>
      </c>
      <c r="H15">
        <v>450</v>
      </c>
      <c r="I15">
        <v>430</v>
      </c>
      <c r="J15">
        <f>DAYS360(tblDetails[[#This Row],[ESTIMATED START]],tblDetails[[#This Row],[ESTIMATED FINISH]],FALSE)</f>
        <v>40</v>
      </c>
      <c r="K15">
        <f>DAYS360(tblDetails[[#This Row],[ACTUAL START]],tblDetails[[#This Row],[ACTUAL FINISH]],FALSE)</f>
        <v>40</v>
      </c>
      <c r="L15" s="13">
        <f>INDEX(tblParameters[],MATCH(tblDetails[[#This Row],[PROJECT TYPE]],tblParameters[PROJECT TYPE],0),MATCH(tblDetails[[#Headers],[GENERAL PARTNER]],tblParameters[#Headers],0))*INDEX('PROJECT PARAMETERS'!$B$14:$H$14,1,MATCH(tblDetails[[#Headers],[GENERAL PARTNER]],tblParameters[#Headers],0))*tblDetails[[#This Row],[ESTIMATED WORK]]</f>
        <v>15750</v>
      </c>
      <c r="M15" s="13">
        <f>INDEX(tblParameters[],MATCH(tblDetails[[#This Row],[PROJECT TYPE]],tblParameters[PROJECT TYPE],0),MATCH(tblDetails[[#Headers],[BUSINESS LAWYER]],tblParameters[#Headers],0))*INDEX('PROJECT PARAMETERS'!$B$14:$H$14,1,MATCH(tblDetails[[#Headers],[BUSINESS LAWYER]],tblParameters[#Headers],0))*tblDetails[[#This Row],[ESTIMATED WORK]]</f>
        <v>0</v>
      </c>
      <c r="N15"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5"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74250</v>
      </c>
      <c r="P15" s="13">
        <f>INDEX(tblParameters[],MATCH(tblDetails[[#This Row],[PROJECT TYPE]],tblParameters[PROJECT TYPE],0),MATCH(tblDetails[[#Headers],[BANKRUPTCY LAWYER]],tblParameters[#Headers],0))*INDEX('PROJECT PARAMETERS'!$B$14:$H$14,1,MATCH(tblDetails[[#Headers],[BANKRUPTCY LAWYER]],tblParameters[#Headers],0))*tblDetails[[#This Row],[ESTIMATED WORK]]</f>
        <v>0</v>
      </c>
      <c r="Q15" s="13">
        <f>INDEX(tblParameters[],MATCH(tblDetails[[#This Row],[PROJECT TYPE]],tblParameters[PROJECT TYPE],0),MATCH(tblDetails[[#Headers],[ADMIN STAFF]],tblParameters[#Headers],0))*INDEX('PROJECT PARAMETERS'!$B$14:$H$14,1,MATCH(tblDetails[[#Headers],[ADMIN STAFF]],tblParameters[#Headers],0))*tblDetails[[#This Row],[ESTIMATED WORK]]</f>
        <v>16875</v>
      </c>
      <c r="R15" s="13">
        <f>INDEX(tblParameters[],MATCH(tblDetails[[#This Row],[PROJECT TYPE]],tblParameters[PROJECT TYPE],0),MATCH(tblDetails[[#Headers],[GENERAL PARTNER]],tblParameters[#Headers],0))*INDEX('PROJECT PARAMETERS'!$B$14:$H$14,1,MATCH(tblDetails[[#Headers],[GENERAL PARTNER]],tblParameters[#Headers],0))*tblDetails[[#This Row],[ACTUAL WORK]]</f>
        <v>15050</v>
      </c>
      <c r="S15" s="13">
        <f>INDEX(tblParameters[],MATCH(tblDetails[[#This Row],[PROJECT TYPE]],tblParameters[PROJECT TYPE],0),MATCH(tblDetails[[#Headers],[BUSINESS LAWYER]],tblParameters[#Headers],0))*INDEX('PROJECT PARAMETERS'!$B$14:$H$14,1,MATCH(tblDetails[[#Headers],[BUSINESS LAWYER]],tblParameters[#Headers],0))*tblDetails[[#This Row],[ACTUAL WORK]]</f>
        <v>0</v>
      </c>
      <c r="T15" s="13">
        <f>INDEX(tblParameters[],MATCH(tblDetails[[#This Row],[PROJECT TYPE]],tblParameters[PROJECT TYPE],0),MATCH(tblDetails[[#Headers],[DEFENSE LITIGATOR]],tblParameters[#Headers],0))*INDEX('PROJECT PARAMETERS'!$B$14:$H$14,1,MATCH(tblDetails[[#Headers],[DEFENSE LITIGATOR]],tblParameters[#Headers],0))*tblDetails[[#This Row],[ACTUAL WORK]]</f>
        <v>0</v>
      </c>
      <c r="U15"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70950</v>
      </c>
      <c r="V15" s="13">
        <f>INDEX(tblParameters[],MATCH(tblDetails[[#This Row],[PROJECT TYPE]],tblParameters[PROJECT TYPE],0),MATCH(tblDetails[[#Headers],[BANKRUPTCY LAWYER]],tblParameters[#Headers],0))*INDEX('PROJECT PARAMETERS'!$B$14:$H$14,1,MATCH(tblDetails[[#Headers],[BANKRUPTCY LAWYER]],tblParameters[#Headers],0))*tblDetails[[#This Row],[ACTUAL WORK]]</f>
        <v>0</v>
      </c>
      <c r="W15" s="13">
        <f>INDEX(tblParameters[],MATCH(tblDetails[[#This Row],[PROJECT TYPE]],tblParameters[PROJECT TYPE],0),MATCH(tblDetails[[#Headers],[ADMIN STAFF]],tblParameters[#Headers],0))*INDEX('PROJECT PARAMETERS'!$B$14:$H$14,1,MATCH(tblDetails[[#Headers],[ADMIN STAFF]],tblParameters[#Headers],0))*tblDetails[[#This Row],[ACTUAL WORK]]</f>
        <v>16125</v>
      </c>
    </row>
    <row r="16" spans="2:23" x14ac:dyDescent="0.2">
      <c r="B16" t="s">
        <v>13</v>
      </c>
      <c r="C16" t="s">
        <v>56</v>
      </c>
      <c r="D16" s="11">
        <v>41573</v>
      </c>
      <c r="E16" s="11">
        <v>41632</v>
      </c>
      <c r="F16" s="11">
        <v>41604</v>
      </c>
      <c r="G16" s="11">
        <v>41658</v>
      </c>
      <c r="H16">
        <v>250</v>
      </c>
      <c r="I16">
        <v>235</v>
      </c>
      <c r="J16">
        <f>DAYS360(tblDetails[[#This Row],[ESTIMATED START]],tblDetails[[#This Row],[ESTIMATED FINISH]],FALSE)</f>
        <v>58</v>
      </c>
      <c r="K16">
        <f>DAYS360(tblDetails[[#This Row],[ACTUAL START]],tblDetails[[#This Row],[ACTUAL FINISH]],FALSE)</f>
        <v>53</v>
      </c>
      <c r="L16" s="13">
        <f>INDEX(tblParameters[],MATCH(tblDetails[[#This Row],[PROJECT TYPE]],tblParameters[PROJECT TYPE],0),MATCH(tblDetails[[#Headers],[GENERAL PARTNER]],tblParameters[#Headers],0))*INDEX('PROJECT PARAMETERS'!$B$14:$H$14,1,MATCH(tblDetails[[#Headers],[GENERAL PARTNER]],tblParameters[#Headers],0))*tblDetails[[#This Row],[ESTIMATED WORK]]</f>
        <v>8750</v>
      </c>
      <c r="M16" s="13">
        <f>INDEX(tblParameters[],MATCH(tblDetails[[#This Row],[PROJECT TYPE]],tblParameters[PROJECT TYPE],0),MATCH(tblDetails[[#Headers],[BUSINESS LAWYER]],tblParameters[#Headers],0))*INDEX('PROJECT PARAMETERS'!$B$14:$H$14,1,MATCH(tblDetails[[#Headers],[BUSINESS LAWYER]],tblParameters[#Headers],0))*tblDetails[[#This Row],[ESTIMATED WORK]]</f>
        <v>12500</v>
      </c>
      <c r="N16"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6"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16" s="13">
        <f>INDEX(tblParameters[],MATCH(tblDetails[[#This Row],[PROJECT TYPE]],tblParameters[PROJECT TYPE],0),MATCH(tblDetails[[#Headers],[BANKRUPTCY LAWYER]],tblParameters[#Headers],0))*INDEX('PROJECT PARAMETERS'!$B$14:$H$14,1,MATCH(tblDetails[[#Headers],[BANKRUPTCY LAWYER]],tblParameters[#Headers],0))*tblDetails[[#This Row],[ESTIMATED WORK]]</f>
        <v>22500</v>
      </c>
      <c r="Q16" s="13">
        <f>INDEX(tblParameters[],MATCH(tblDetails[[#This Row],[PROJECT TYPE]],tblParameters[PROJECT TYPE],0),MATCH(tblDetails[[#Headers],[ADMIN STAFF]],tblParameters[#Headers],0))*INDEX('PROJECT PARAMETERS'!$B$14:$H$14,1,MATCH(tblDetails[[#Headers],[ADMIN STAFF]],tblParameters[#Headers],0))*tblDetails[[#This Row],[ESTIMATED WORK]]</f>
        <v>9375</v>
      </c>
      <c r="R16" s="13">
        <f>INDEX(tblParameters[],MATCH(tblDetails[[#This Row],[PROJECT TYPE]],tblParameters[PROJECT TYPE],0),MATCH(tblDetails[[#Headers],[GENERAL PARTNER]],tblParameters[#Headers],0))*INDEX('PROJECT PARAMETERS'!$B$14:$H$14,1,MATCH(tblDetails[[#Headers],[GENERAL PARTNER]],tblParameters[#Headers],0))*tblDetails[[#This Row],[ACTUAL WORK]]</f>
        <v>8225</v>
      </c>
      <c r="S16" s="13">
        <f>INDEX(tblParameters[],MATCH(tblDetails[[#This Row],[PROJECT TYPE]],tblParameters[PROJECT TYPE],0),MATCH(tblDetails[[#Headers],[BUSINESS LAWYER]],tblParameters[#Headers],0))*INDEX('PROJECT PARAMETERS'!$B$14:$H$14,1,MATCH(tblDetails[[#Headers],[BUSINESS LAWYER]],tblParameters[#Headers],0))*tblDetails[[#This Row],[ACTUAL WORK]]</f>
        <v>11750</v>
      </c>
      <c r="T16" s="13">
        <f>INDEX(tblParameters[],MATCH(tblDetails[[#This Row],[PROJECT TYPE]],tblParameters[PROJECT TYPE],0),MATCH(tblDetails[[#Headers],[DEFENSE LITIGATOR]],tblParameters[#Headers],0))*INDEX('PROJECT PARAMETERS'!$B$14:$H$14,1,MATCH(tblDetails[[#Headers],[DEFENSE LITIGATOR]],tblParameters[#Headers],0))*tblDetails[[#This Row],[ACTUAL WORK]]</f>
        <v>0</v>
      </c>
      <c r="U16"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16" s="13">
        <f>INDEX(tblParameters[],MATCH(tblDetails[[#This Row],[PROJECT TYPE]],tblParameters[PROJECT TYPE],0),MATCH(tblDetails[[#Headers],[BANKRUPTCY LAWYER]],tblParameters[#Headers],0))*INDEX('PROJECT PARAMETERS'!$B$14:$H$14,1,MATCH(tblDetails[[#Headers],[BANKRUPTCY LAWYER]],tblParameters[#Headers],0))*tblDetails[[#This Row],[ACTUAL WORK]]</f>
        <v>21150</v>
      </c>
      <c r="W16" s="13">
        <f>INDEX(tblParameters[],MATCH(tblDetails[[#This Row],[PROJECT TYPE]],tblParameters[PROJECT TYPE],0),MATCH(tblDetails[[#Headers],[ADMIN STAFF]],tblParameters[#Headers],0))*INDEX('PROJECT PARAMETERS'!$B$14:$H$14,1,MATCH(tblDetails[[#Headers],[ADMIN STAFF]],tblParameters[#Headers],0))*tblDetails[[#This Row],[ACTUAL WORK]]</f>
        <v>8812.5</v>
      </c>
    </row>
    <row r="17" spans="2:23" x14ac:dyDescent="0.2">
      <c r="B17" t="s">
        <v>14</v>
      </c>
      <c r="C17" t="s">
        <v>52</v>
      </c>
      <c r="D17" s="11">
        <v>41595</v>
      </c>
      <c r="E17" s="11">
        <v>41654</v>
      </c>
      <c r="F17" s="11">
        <v>41636</v>
      </c>
      <c r="G17" s="11">
        <v>41696</v>
      </c>
      <c r="H17">
        <v>200</v>
      </c>
      <c r="I17">
        <v>235</v>
      </c>
      <c r="J17">
        <f>DAYS360(tblDetails[[#This Row],[ESTIMATED START]],tblDetails[[#This Row],[ESTIMATED FINISH]],FALSE)</f>
        <v>58</v>
      </c>
      <c r="K17">
        <f>DAYS360(tblDetails[[#This Row],[ACTUAL START]],tblDetails[[#This Row],[ACTUAL FINISH]],FALSE)</f>
        <v>58</v>
      </c>
      <c r="L17" s="13">
        <f>INDEX(tblParameters[],MATCH(tblDetails[[#This Row],[PROJECT TYPE]],tblParameters[PROJECT TYPE],0),MATCH(tblDetails[[#Headers],[GENERAL PARTNER]],tblParameters[#Headers],0))*INDEX('PROJECT PARAMETERS'!$B$14:$H$14,1,MATCH(tblDetails[[#Headers],[GENERAL PARTNER]],tblParameters[#Headers],0))*tblDetails[[#This Row],[ESTIMATED WORK]]</f>
        <v>7000</v>
      </c>
      <c r="M17" s="13">
        <f>INDEX(tblParameters[],MATCH(tblDetails[[#This Row],[PROJECT TYPE]],tblParameters[PROJECT TYPE],0),MATCH(tblDetails[[#Headers],[BUSINESS LAWYER]],tblParameters[#Headers],0))*INDEX('PROJECT PARAMETERS'!$B$14:$H$14,1,MATCH(tblDetails[[#Headers],[BUSINESS LAWYER]],tblParameters[#Headers],0))*tblDetails[[#This Row],[ESTIMATED WORK]]</f>
        <v>20000</v>
      </c>
      <c r="N17"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7"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5500</v>
      </c>
      <c r="P17" s="13">
        <f>INDEX(tblParameters[],MATCH(tblDetails[[#This Row],[PROJECT TYPE]],tblParameters[PROJECT TYPE],0),MATCH(tblDetails[[#Headers],[BANKRUPTCY LAWYER]],tblParameters[#Headers],0))*INDEX('PROJECT PARAMETERS'!$B$14:$H$14,1,MATCH(tblDetails[[#Headers],[BANKRUPTCY LAWYER]],tblParameters[#Headers],0))*tblDetails[[#This Row],[ESTIMATED WORK]]</f>
        <v>0</v>
      </c>
      <c r="Q17" s="13">
        <f>INDEX(tblParameters[],MATCH(tblDetails[[#This Row],[PROJECT TYPE]],tblParameters[PROJECT TYPE],0),MATCH(tblDetails[[#Headers],[ADMIN STAFF]],tblParameters[#Headers],0))*INDEX('PROJECT PARAMETERS'!$B$14:$H$14,1,MATCH(tblDetails[[#Headers],[ADMIN STAFF]],tblParameters[#Headers],0))*tblDetails[[#This Row],[ESTIMATED WORK]]</f>
        <v>10000</v>
      </c>
      <c r="R17" s="13">
        <f>INDEX(tblParameters[],MATCH(tblDetails[[#This Row],[PROJECT TYPE]],tblParameters[PROJECT TYPE],0),MATCH(tblDetails[[#Headers],[GENERAL PARTNER]],tblParameters[#Headers],0))*INDEX('PROJECT PARAMETERS'!$B$14:$H$14,1,MATCH(tblDetails[[#Headers],[GENERAL PARTNER]],tblParameters[#Headers],0))*tblDetails[[#This Row],[ACTUAL WORK]]</f>
        <v>8225</v>
      </c>
      <c r="S17" s="13">
        <f>INDEX(tblParameters[],MATCH(tblDetails[[#This Row],[PROJECT TYPE]],tblParameters[PROJECT TYPE],0),MATCH(tblDetails[[#Headers],[BUSINESS LAWYER]],tblParameters[#Headers],0))*INDEX('PROJECT PARAMETERS'!$B$14:$H$14,1,MATCH(tblDetails[[#Headers],[BUSINESS LAWYER]],tblParameters[#Headers],0))*tblDetails[[#This Row],[ACTUAL WORK]]</f>
        <v>23500</v>
      </c>
      <c r="T17" s="13">
        <f>INDEX(tblParameters[],MATCH(tblDetails[[#This Row],[PROJECT TYPE]],tblParameters[PROJECT TYPE],0),MATCH(tblDetails[[#Headers],[DEFENSE LITIGATOR]],tblParameters[#Headers],0))*INDEX('PROJECT PARAMETERS'!$B$14:$H$14,1,MATCH(tblDetails[[#Headers],[DEFENSE LITIGATOR]],tblParameters[#Headers],0))*tblDetails[[#This Row],[ACTUAL WORK]]</f>
        <v>0</v>
      </c>
      <c r="U17"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6462.5</v>
      </c>
      <c r="V17" s="13">
        <f>INDEX(tblParameters[],MATCH(tblDetails[[#This Row],[PROJECT TYPE]],tblParameters[PROJECT TYPE],0),MATCH(tblDetails[[#Headers],[BANKRUPTCY LAWYER]],tblParameters[#Headers],0))*INDEX('PROJECT PARAMETERS'!$B$14:$H$14,1,MATCH(tblDetails[[#Headers],[BANKRUPTCY LAWYER]],tblParameters[#Headers],0))*tblDetails[[#This Row],[ACTUAL WORK]]</f>
        <v>0</v>
      </c>
      <c r="W17" s="13">
        <f>INDEX(tblParameters[],MATCH(tblDetails[[#This Row],[PROJECT TYPE]],tblParameters[PROJECT TYPE],0),MATCH(tblDetails[[#Headers],[ADMIN STAFF]],tblParameters[#Headers],0))*INDEX('PROJECT PARAMETERS'!$B$14:$H$14,1,MATCH(tblDetails[[#Headers],[ADMIN STAFF]],tblParameters[#Headers],0))*tblDetails[[#This Row],[ACTUAL WORK]]</f>
        <v>11750</v>
      </c>
    </row>
    <row r="18" spans="2:23" x14ac:dyDescent="0.2">
      <c r="B18" t="s">
        <v>15</v>
      </c>
      <c r="C18" t="s">
        <v>56</v>
      </c>
      <c r="D18" s="11">
        <v>41611</v>
      </c>
      <c r="E18" s="11">
        <v>41672</v>
      </c>
      <c r="F18" s="11">
        <v>41653</v>
      </c>
      <c r="G18" s="11">
        <v>41700</v>
      </c>
      <c r="H18">
        <v>180</v>
      </c>
      <c r="I18">
        <v>190</v>
      </c>
      <c r="J18">
        <f>DAYS360(tblDetails[[#This Row],[ESTIMATED START]],tblDetails[[#This Row],[ESTIMATED FINISH]],FALSE)</f>
        <v>59</v>
      </c>
      <c r="K18">
        <f>DAYS360(tblDetails[[#This Row],[ACTUAL START]],tblDetails[[#This Row],[ACTUAL FINISH]],FALSE)</f>
        <v>48</v>
      </c>
      <c r="L18" s="13">
        <f>INDEX(tblParameters[],MATCH(tblDetails[[#This Row],[PROJECT TYPE]],tblParameters[PROJECT TYPE],0),MATCH(tblDetails[[#Headers],[GENERAL PARTNER]],tblParameters[#Headers],0))*INDEX('PROJECT PARAMETERS'!$B$14:$H$14,1,MATCH(tblDetails[[#Headers],[GENERAL PARTNER]],tblParameters[#Headers],0))*tblDetails[[#This Row],[ESTIMATED WORK]]</f>
        <v>6300</v>
      </c>
      <c r="M18" s="13">
        <f>INDEX(tblParameters[],MATCH(tblDetails[[#This Row],[PROJECT TYPE]],tblParameters[PROJECT TYPE],0),MATCH(tblDetails[[#Headers],[BUSINESS LAWYER]],tblParameters[#Headers],0))*INDEX('PROJECT PARAMETERS'!$B$14:$H$14,1,MATCH(tblDetails[[#Headers],[BUSINESS LAWYER]],tblParameters[#Headers],0))*tblDetails[[#This Row],[ESTIMATED WORK]]</f>
        <v>9000</v>
      </c>
      <c r="N18"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8"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18" s="13">
        <f>INDEX(tblParameters[],MATCH(tblDetails[[#This Row],[PROJECT TYPE]],tblParameters[PROJECT TYPE],0),MATCH(tblDetails[[#Headers],[BANKRUPTCY LAWYER]],tblParameters[#Headers],0))*INDEX('PROJECT PARAMETERS'!$B$14:$H$14,1,MATCH(tblDetails[[#Headers],[BANKRUPTCY LAWYER]],tblParameters[#Headers],0))*tblDetails[[#This Row],[ESTIMATED WORK]]</f>
        <v>16200</v>
      </c>
      <c r="Q18" s="13">
        <f>INDEX(tblParameters[],MATCH(tblDetails[[#This Row],[PROJECT TYPE]],tblParameters[PROJECT TYPE],0),MATCH(tblDetails[[#Headers],[ADMIN STAFF]],tblParameters[#Headers],0))*INDEX('PROJECT PARAMETERS'!$B$14:$H$14,1,MATCH(tblDetails[[#Headers],[ADMIN STAFF]],tblParameters[#Headers],0))*tblDetails[[#This Row],[ESTIMATED WORK]]</f>
        <v>6750</v>
      </c>
      <c r="R18" s="13">
        <f>INDEX(tblParameters[],MATCH(tblDetails[[#This Row],[PROJECT TYPE]],tblParameters[PROJECT TYPE],0),MATCH(tblDetails[[#Headers],[GENERAL PARTNER]],tblParameters[#Headers],0))*INDEX('PROJECT PARAMETERS'!$B$14:$H$14,1,MATCH(tblDetails[[#Headers],[GENERAL PARTNER]],tblParameters[#Headers],0))*tblDetails[[#This Row],[ACTUAL WORK]]</f>
        <v>6650</v>
      </c>
      <c r="S18" s="13">
        <f>INDEX(tblParameters[],MATCH(tblDetails[[#This Row],[PROJECT TYPE]],tblParameters[PROJECT TYPE],0),MATCH(tblDetails[[#Headers],[BUSINESS LAWYER]],tblParameters[#Headers],0))*INDEX('PROJECT PARAMETERS'!$B$14:$H$14,1,MATCH(tblDetails[[#Headers],[BUSINESS LAWYER]],tblParameters[#Headers],0))*tblDetails[[#This Row],[ACTUAL WORK]]</f>
        <v>9500</v>
      </c>
      <c r="T18" s="13">
        <f>INDEX(tblParameters[],MATCH(tblDetails[[#This Row],[PROJECT TYPE]],tblParameters[PROJECT TYPE],0),MATCH(tblDetails[[#Headers],[DEFENSE LITIGATOR]],tblParameters[#Headers],0))*INDEX('PROJECT PARAMETERS'!$B$14:$H$14,1,MATCH(tblDetails[[#Headers],[DEFENSE LITIGATOR]],tblParameters[#Headers],0))*tblDetails[[#This Row],[ACTUAL WORK]]</f>
        <v>0</v>
      </c>
      <c r="U18"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18" s="13">
        <f>INDEX(tblParameters[],MATCH(tblDetails[[#This Row],[PROJECT TYPE]],tblParameters[PROJECT TYPE],0),MATCH(tblDetails[[#Headers],[BANKRUPTCY LAWYER]],tblParameters[#Headers],0))*INDEX('PROJECT PARAMETERS'!$B$14:$H$14,1,MATCH(tblDetails[[#Headers],[BANKRUPTCY LAWYER]],tblParameters[#Headers],0))*tblDetails[[#This Row],[ACTUAL WORK]]</f>
        <v>17100</v>
      </c>
      <c r="W18" s="13">
        <f>INDEX(tblParameters[],MATCH(tblDetails[[#This Row],[PROJECT TYPE]],tblParameters[PROJECT TYPE],0),MATCH(tblDetails[[#Headers],[ADMIN STAFF]],tblParameters[#Headers],0))*INDEX('PROJECT PARAMETERS'!$B$14:$H$14,1,MATCH(tblDetails[[#Headers],[ADMIN STAFF]],tblParameters[#Headers],0))*tblDetails[[#This Row],[ACTUAL WORK]]</f>
        <v>7125</v>
      </c>
    </row>
    <row r="19" spans="2:23" x14ac:dyDescent="0.2">
      <c r="B19" t="s">
        <v>16</v>
      </c>
      <c r="C19" t="s">
        <v>54</v>
      </c>
      <c r="D19" s="11">
        <v>41446</v>
      </c>
      <c r="E19" s="11">
        <v>41657</v>
      </c>
      <c r="F19" s="11">
        <v>41491</v>
      </c>
      <c r="G19" s="11">
        <v>41702</v>
      </c>
      <c r="H19">
        <v>250</v>
      </c>
      <c r="I19">
        <v>230</v>
      </c>
      <c r="J19">
        <f>DAYS360(tblDetails[[#This Row],[ESTIMATED START]],tblDetails[[#This Row],[ESTIMATED FINISH]],FALSE)</f>
        <v>207</v>
      </c>
      <c r="K19">
        <f>DAYS360(tblDetails[[#This Row],[ACTUAL START]],tblDetails[[#This Row],[ACTUAL FINISH]],FALSE)</f>
        <v>209</v>
      </c>
      <c r="L19" s="13">
        <f>INDEX(tblParameters[],MATCH(tblDetails[[#This Row],[PROJECT TYPE]],tblParameters[PROJECT TYPE],0),MATCH(tblDetails[[#Headers],[GENERAL PARTNER]],tblParameters[#Headers],0))*INDEX('PROJECT PARAMETERS'!$B$14:$H$14,1,MATCH(tblDetails[[#Headers],[GENERAL PARTNER]],tblParameters[#Headers],0))*tblDetails[[#This Row],[ESTIMATED WORK]]</f>
        <v>8750</v>
      </c>
      <c r="M19" s="13">
        <f>INDEX(tblParameters[],MATCH(tblDetails[[#This Row],[PROJECT TYPE]],tblParameters[PROJECT TYPE],0),MATCH(tblDetails[[#Headers],[BUSINESS LAWYER]],tblParameters[#Headers],0))*INDEX('PROJECT PARAMETERS'!$B$14:$H$14,1,MATCH(tblDetails[[#Headers],[BUSINESS LAWYER]],tblParameters[#Headers],0))*tblDetails[[#This Row],[ESTIMATED WORK]]</f>
        <v>0</v>
      </c>
      <c r="N19" s="13">
        <f>INDEX(tblParameters[],MATCH(tblDetails[[#This Row],[PROJECT TYPE]],tblParameters[PROJECT TYPE],0),MATCH(tblDetails[[#Headers],[DEFENSE LITIGATOR]],tblParameters[#Headers],0))*INDEX('PROJECT PARAMETERS'!$B$14:$H$14,1,MATCH(tblDetails[[#Headers],[DEFENSE LITIGATOR]],tblParameters[#Headers],0))*tblDetails[[#This Row],[ESTIMATED WORK]]</f>
        <v>0</v>
      </c>
      <c r="O19"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41250</v>
      </c>
      <c r="P19" s="13">
        <f>INDEX(tblParameters[],MATCH(tblDetails[[#This Row],[PROJECT TYPE]],tblParameters[PROJECT TYPE],0),MATCH(tblDetails[[#Headers],[BANKRUPTCY LAWYER]],tblParameters[#Headers],0))*INDEX('PROJECT PARAMETERS'!$B$14:$H$14,1,MATCH(tblDetails[[#Headers],[BANKRUPTCY LAWYER]],tblParameters[#Headers],0))*tblDetails[[#This Row],[ESTIMATED WORK]]</f>
        <v>0</v>
      </c>
      <c r="Q19" s="13">
        <f>INDEX(tblParameters[],MATCH(tblDetails[[#This Row],[PROJECT TYPE]],tblParameters[PROJECT TYPE],0),MATCH(tblDetails[[#Headers],[ADMIN STAFF]],tblParameters[#Headers],0))*INDEX('PROJECT PARAMETERS'!$B$14:$H$14,1,MATCH(tblDetails[[#Headers],[ADMIN STAFF]],tblParameters[#Headers],0))*tblDetails[[#This Row],[ESTIMATED WORK]]</f>
        <v>9375</v>
      </c>
      <c r="R19" s="13">
        <f>INDEX(tblParameters[],MATCH(tblDetails[[#This Row],[PROJECT TYPE]],tblParameters[PROJECT TYPE],0),MATCH(tblDetails[[#Headers],[GENERAL PARTNER]],tblParameters[#Headers],0))*INDEX('PROJECT PARAMETERS'!$B$14:$H$14,1,MATCH(tblDetails[[#Headers],[GENERAL PARTNER]],tblParameters[#Headers],0))*tblDetails[[#This Row],[ACTUAL WORK]]</f>
        <v>8050</v>
      </c>
      <c r="S19" s="13">
        <f>INDEX(tblParameters[],MATCH(tblDetails[[#This Row],[PROJECT TYPE]],tblParameters[PROJECT TYPE],0),MATCH(tblDetails[[#Headers],[BUSINESS LAWYER]],tblParameters[#Headers],0))*INDEX('PROJECT PARAMETERS'!$B$14:$H$14,1,MATCH(tblDetails[[#Headers],[BUSINESS LAWYER]],tblParameters[#Headers],0))*tblDetails[[#This Row],[ACTUAL WORK]]</f>
        <v>0</v>
      </c>
      <c r="T19" s="13">
        <f>INDEX(tblParameters[],MATCH(tblDetails[[#This Row],[PROJECT TYPE]],tblParameters[PROJECT TYPE],0),MATCH(tblDetails[[#Headers],[DEFENSE LITIGATOR]],tblParameters[#Headers],0))*INDEX('PROJECT PARAMETERS'!$B$14:$H$14,1,MATCH(tblDetails[[#Headers],[DEFENSE LITIGATOR]],tblParameters[#Headers],0))*tblDetails[[#This Row],[ACTUAL WORK]]</f>
        <v>0</v>
      </c>
      <c r="U19"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37950</v>
      </c>
      <c r="V19" s="13">
        <f>INDEX(tblParameters[],MATCH(tblDetails[[#This Row],[PROJECT TYPE]],tblParameters[PROJECT TYPE],0),MATCH(tblDetails[[#Headers],[BANKRUPTCY LAWYER]],tblParameters[#Headers],0))*INDEX('PROJECT PARAMETERS'!$B$14:$H$14,1,MATCH(tblDetails[[#Headers],[BANKRUPTCY LAWYER]],tblParameters[#Headers],0))*tblDetails[[#This Row],[ACTUAL WORK]]</f>
        <v>0</v>
      </c>
      <c r="W19" s="13">
        <f>INDEX(tblParameters[],MATCH(tblDetails[[#This Row],[PROJECT TYPE]],tblParameters[PROJECT TYPE],0),MATCH(tblDetails[[#Headers],[ADMIN STAFF]],tblParameters[#Headers],0))*INDEX('PROJECT PARAMETERS'!$B$14:$H$14,1,MATCH(tblDetails[[#Headers],[ADMIN STAFF]],tblParameters[#Headers],0))*tblDetails[[#This Row],[ACTUAL WORK]]</f>
        <v>8625</v>
      </c>
    </row>
    <row r="20" spans="2:23" x14ac:dyDescent="0.2">
      <c r="B20" t="s">
        <v>17</v>
      </c>
      <c r="C20" t="s">
        <v>53</v>
      </c>
      <c r="D20" s="11">
        <v>41628</v>
      </c>
      <c r="E20" s="11">
        <v>41674</v>
      </c>
      <c r="F20" s="11">
        <v>41666</v>
      </c>
      <c r="G20" s="11">
        <v>41723</v>
      </c>
      <c r="H20">
        <v>240</v>
      </c>
      <c r="I20">
        <v>225</v>
      </c>
      <c r="J20">
        <f>DAYS360(tblDetails[[#This Row],[ESTIMATED START]],tblDetails[[#This Row],[ESTIMATED FINISH]],FALSE)</f>
        <v>44</v>
      </c>
      <c r="K20">
        <f>DAYS360(tblDetails[[#This Row],[ACTUAL START]],tblDetails[[#This Row],[ACTUAL FINISH]],FALSE)</f>
        <v>58</v>
      </c>
      <c r="L20" s="13">
        <f>INDEX(tblParameters[],MATCH(tblDetails[[#This Row],[PROJECT TYPE]],tblParameters[PROJECT TYPE],0),MATCH(tblDetails[[#Headers],[GENERAL PARTNER]],tblParameters[#Headers],0))*INDEX('PROJECT PARAMETERS'!$B$14:$H$14,1,MATCH(tblDetails[[#Headers],[GENERAL PARTNER]],tblParameters[#Headers],0))*tblDetails[[#This Row],[ESTIMATED WORK]]</f>
        <v>16800</v>
      </c>
      <c r="M20" s="13">
        <f>INDEX(tblParameters[],MATCH(tblDetails[[#This Row],[PROJECT TYPE]],tblParameters[PROJECT TYPE],0),MATCH(tblDetails[[#Headers],[BUSINESS LAWYER]],tblParameters[#Headers],0))*INDEX('PROJECT PARAMETERS'!$B$14:$H$14,1,MATCH(tblDetails[[#Headers],[BUSINESS LAWYER]],tblParameters[#Headers],0))*tblDetails[[#This Row],[ESTIMATED WORK]]</f>
        <v>0</v>
      </c>
      <c r="N20" s="13">
        <f>INDEX(tblParameters[],MATCH(tblDetails[[#This Row],[PROJECT TYPE]],tblParameters[PROJECT TYPE],0),MATCH(tblDetails[[#Headers],[DEFENSE LITIGATOR]],tblParameters[#Headers],0))*INDEX('PROJECT PARAMETERS'!$B$14:$H$14,1,MATCH(tblDetails[[#Headers],[DEFENSE LITIGATOR]],tblParameters[#Headers],0))*tblDetails[[#This Row],[ESTIMATED WORK]]</f>
        <v>36000</v>
      </c>
      <c r="O20"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20" s="13">
        <f>INDEX(tblParameters[],MATCH(tblDetails[[#This Row],[PROJECT TYPE]],tblParameters[PROJECT TYPE],0),MATCH(tblDetails[[#Headers],[BANKRUPTCY LAWYER]],tblParameters[#Headers],0))*INDEX('PROJECT PARAMETERS'!$B$14:$H$14,1,MATCH(tblDetails[[#Headers],[BANKRUPTCY LAWYER]],tblParameters[#Headers],0))*tblDetails[[#This Row],[ESTIMATED WORK]]</f>
        <v>0</v>
      </c>
      <c r="Q20" s="13">
        <f>INDEX(tblParameters[],MATCH(tblDetails[[#This Row],[PROJECT TYPE]],tblParameters[PROJECT TYPE],0),MATCH(tblDetails[[#Headers],[ADMIN STAFF]],tblParameters[#Headers],0))*INDEX('PROJECT PARAMETERS'!$B$14:$H$14,1,MATCH(tblDetails[[#Headers],[ADMIN STAFF]],tblParameters[#Headers],0))*tblDetails[[#This Row],[ESTIMATED WORK]]</f>
        <v>9000</v>
      </c>
      <c r="R20" s="13">
        <f>INDEX(tblParameters[],MATCH(tblDetails[[#This Row],[PROJECT TYPE]],tblParameters[PROJECT TYPE],0),MATCH(tblDetails[[#Headers],[GENERAL PARTNER]],tblParameters[#Headers],0))*INDEX('PROJECT PARAMETERS'!$B$14:$H$14,1,MATCH(tblDetails[[#Headers],[GENERAL PARTNER]],tblParameters[#Headers],0))*tblDetails[[#This Row],[ACTUAL WORK]]</f>
        <v>15750</v>
      </c>
      <c r="S20" s="13">
        <f>INDEX(tblParameters[],MATCH(tblDetails[[#This Row],[PROJECT TYPE]],tblParameters[PROJECT TYPE],0),MATCH(tblDetails[[#Headers],[BUSINESS LAWYER]],tblParameters[#Headers],0))*INDEX('PROJECT PARAMETERS'!$B$14:$H$14,1,MATCH(tblDetails[[#Headers],[BUSINESS LAWYER]],tblParameters[#Headers],0))*tblDetails[[#This Row],[ACTUAL WORK]]</f>
        <v>0</v>
      </c>
      <c r="T20" s="13">
        <f>INDEX(tblParameters[],MATCH(tblDetails[[#This Row],[PROJECT TYPE]],tblParameters[PROJECT TYPE],0),MATCH(tblDetails[[#Headers],[DEFENSE LITIGATOR]],tblParameters[#Headers],0))*INDEX('PROJECT PARAMETERS'!$B$14:$H$14,1,MATCH(tblDetails[[#Headers],[DEFENSE LITIGATOR]],tblParameters[#Headers],0))*tblDetails[[#This Row],[ACTUAL WORK]]</f>
        <v>33750</v>
      </c>
      <c r="U20"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20" s="13">
        <f>INDEX(tblParameters[],MATCH(tblDetails[[#This Row],[PROJECT TYPE]],tblParameters[PROJECT TYPE],0),MATCH(tblDetails[[#Headers],[BANKRUPTCY LAWYER]],tblParameters[#Headers],0))*INDEX('PROJECT PARAMETERS'!$B$14:$H$14,1,MATCH(tblDetails[[#Headers],[BANKRUPTCY LAWYER]],tblParameters[#Headers],0))*tblDetails[[#This Row],[ACTUAL WORK]]</f>
        <v>0</v>
      </c>
      <c r="W20" s="13">
        <f>INDEX(tblParameters[],MATCH(tblDetails[[#This Row],[PROJECT TYPE]],tblParameters[PROJECT TYPE],0),MATCH(tblDetails[[#Headers],[ADMIN STAFF]],tblParameters[#Headers],0))*INDEX('PROJECT PARAMETERS'!$B$14:$H$14,1,MATCH(tblDetails[[#Headers],[ADMIN STAFF]],tblParameters[#Headers],0))*tblDetails[[#This Row],[ACTUAL WORK]]</f>
        <v>8437.5</v>
      </c>
    </row>
    <row r="21" spans="2:23" x14ac:dyDescent="0.2">
      <c r="B21" t="s">
        <v>18</v>
      </c>
      <c r="C21" t="s">
        <v>54</v>
      </c>
      <c r="D21" s="11">
        <v>41636</v>
      </c>
      <c r="E21" s="11">
        <v>41703</v>
      </c>
      <c r="F21" s="11">
        <v>41656</v>
      </c>
      <c r="G21" s="11">
        <v>41739</v>
      </c>
      <c r="H21">
        <v>320</v>
      </c>
      <c r="I21">
        <v>305</v>
      </c>
      <c r="J21">
        <f>DAYS360(tblDetails[[#This Row],[ESTIMATED START]],tblDetails[[#This Row],[ESTIMATED FINISH]],FALSE)</f>
        <v>67</v>
      </c>
      <c r="K21">
        <f>DAYS360(tblDetails[[#This Row],[ACTUAL START]],tblDetails[[#This Row],[ACTUAL FINISH]],FALSE)</f>
        <v>83</v>
      </c>
      <c r="L21" s="13">
        <f>INDEX(tblParameters[],MATCH(tblDetails[[#This Row],[PROJECT TYPE]],tblParameters[PROJECT TYPE],0),MATCH(tblDetails[[#Headers],[GENERAL PARTNER]],tblParameters[#Headers],0))*INDEX('PROJECT PARAMETERS'!$B$14:$H$14,1,MATCH(tblDetails[[#Headers],[GENERAL PARTNER]],tblParameters[#Headers],0))*tblDetails[[#This Row],[ESTIMATED WORK]]</f>
        <v>11200</v>
      </c>
      <c r="M21" s="13">
        <f>INDEX(tblParameters[],MATCH(tblDetails[[#This Row],[PROJECT TYPE]],tblParameters[PROJECT TYPE],0),MATCH(tblDetails[[#Headers],[BUSINESS LAWYER]],tblParameters[#Headers],0))*INDEX('PROJECT PARAMETERS'!$B$14:$H$14,1,MATCH(tblDetails[[#Headers],[BUSINESS LAWYER]],tblParameters[#Headers],0))*tblDetails[[#This Row],[ESTIMATED WORK]]</f>
        <v>0</v>
      </c>
      <c r="N21" s="13">
        <f>INDEX(tblParameters[],MATCH(tblDetails[[#This Row],[PROJECT TYPE]],tblParameters[PROJECT TYPE],0),MATCH(tblDetails[[#Headers],[DEFENSE LITIGATOR]],tblParameters[#Headers],0))*INDEX('PROJECT PARAMETERS'!$B$14:$H$14,1,MATCH(tblDetails[[#Headers],[DEFENSE LITIGATOR]],tblParameters[#Headers],0))*tblDetails[[#This Row],[ESTIMATED WORK]]</f>
        <v>0</v>
      </c>
      <c r="O21"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52800</v>
      </c>
      <c r="P21" s="13">
        <f>INDEX(tblParameters[],MATCH(tblDetails[[#This Row],[PROJECT TYPE]],tblParameters[PROJECT TYPE],0),MATCH(tblDetails[[#Headers],[BANKRUPTCY LAWYER]],tblParameters[#Headers],0))*INDEX('PROJECT PARAMETERS'!$B$14:$H$14,1,MATCH(tblDetails[[#Headers],[BANKRUPTCY LAWYER]],tblParameters[#Headers],0))*tblDetails[[#This Row],[ESTIMATED WORK]]</f>
        <v>0</v>
      </c>
      <c r="Q21" s="13">
        <f>INDEX(tblParameters[],MATCH(tblDetails[[#This Row],[PROJECT TYPE]],tblParameters[PROJECT TYPE],0),MATCH(tblDetails[[#Headers],[ADMIN STAFF]],tblParameters[#Headers],0))*INDEX('PROJECT PARAMETERS'!$B$14:$H$14,1,MATCH(tblDetails[[#Headers],[ADMIN STAFF]],tblParameters[#Headers],0))*tblDetails[[#This Row],[ESTIMATED WORK]]</f>
        <v>12000</v>
      </c>
      <c r="R21" s="13">
        <f>INDEX(tblParameters[],MATCH(tblDetails[[#This Row],[PROJECT TYPE]],tblParameters[PROJECT TYPE],0),MATCH(tblDetails[[#Headers],[GENERAL PARTNER]],tblParameters[#Headers],0))*INDEX('PROJECT PARAMETERS'!$B$14:$H$14,1,MATCH(tblDetails[[#Headers],[GENERAL PARTNER]],tblParameters[#Headers],0))*tblDetails[[#This Row],[ACTUAL WORK]]</f>
        <v>10675</v>
      </c>
      <c r="S21" s="13">
        <f>INDEX(tblParameters[],MATCH(tblDetails[[#This Row],[PROJECT TYPE]],tblParameters[PROJECT TYPE],0),MATCH(tblDetails[[#Headers],[BUSINESS LAWYER]],tblParameters[#Headers],0))*INDEX('PROJECT PARAMETERS'!$B$14:$H$14,1,MATCH(tblDetails[[#Headers],[BUSINESS LAWYER]],tblParameters[#Headers],0))*tblDetails[[#This Row],[ACTUAL WORK]]</f>
        <v>0</v>
      </c>
      <c r="T21" s="13">
        <f>INDEX(tblParameters[],MATCH(tblDetails[[#This Row],[PROJECT TYPE]],tblParameters[PROJECT TYPE],0),MATCH(tblDetails[[#Headers],[DEFENSE LITIGATOR]],tblParameters[#Headers],0))*INDEX('PROJECT PARAMETERS'!$B$14:$H$14,1,MATCH(tblDetails[[#Headers],[DEFENSE LITIGATOR]],tblParameters[#Headers],0))*tblDetails[[#This Row],[ACTUAL WORK]]</f>
        <v>0</v>
      </c>
      <c r="U21"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50325</v>
      </c>
      <c r="V21" s="13">
        <f>INDEX(tblParameters[],MATCH(tblDetails[[#This Row],[PROJECT TYPE]],tblParameters[PROJECT TYPE],0),MATCH(tblDetails[[#Headers],[BANKRUPTCY LAWYER]],tblParameters[#Headers],0))*INDEX('PROJECT PARAMETERS'!$B$14:$H$14,1,MATCH(tblDetails[[#Headers],[BANKRUPTCY LAWYER]],tblParameters[#Headers],0))*tblDetails[[#This Row],[ACTUAL WORK]]</f>
        <v>0</v>
      </c>
      <c r="W21" s="13">
        <f>INDEX(tblParameters[],MATCH(tblDetails[[#This Row],[PROJECT TYPE]],tblParameters[PROJECT TYPE],0),MATCH(tblDetails[[#Headers],[ADMIN STAFF]],tblParameters[#Headers],0))*INDEX('PROJECT PARAMETERS'!$B$14:$H$14,1,MATCH(tblDetails[[#Headers],[ADMIN STAFF]],tblParameters[#Headers],0))*tblDetails[[#This Row],[ACTUAL WORK]]</f>
        <v>11437.5</v>
      </c>
    </row>
    <row r="22" spans="2:23" x14ac:dyDescent="0.2">
      <c r="B22" t="s">
        <v>19</v>
      </c>
      <c r="C22" t="s">
        <v>52</v>
      </c>
      <c r="D22" s="11">
        <v>41643</v>
      </c>
      <c r="E22" s="11">
        <v>41704</v>
      </c>
      <c r="F22" s="11">
        <v>41673</v>
      </c>
      <c r="G22" s="11">
        <v>41735</v>
      </c>
      <c r="H22">
        <v>550</v>
      </c>
      <c r="I22">
        <v>565</v>
      </c>
      <c r="J22">
        <f>DAYS360(tblDetails[[#This Row],[ESTIMATED START]],tblDetails[[#This Row],[ESTIMATED FINISH]],FALSE)</f>
        <v>62</v>
      </c>
      <c r="K22">
        <f>DAYS360(tblDetails[[#This Row],[ACTUAL START]],tblDetails[[#This Row],[ACTUAL FINISH]],FALSE)</f>
        <v>63</v>
      </c>
      <c r="L22" s="13">
        <f>INDEX(tblParameters[],MATCH(tblDetails[[#This Row],[PROJECT TYPE]],tblParameters[PROJECT TYPE],0),MATCH(tblDetails[[#Headers],[GENERAL PARTNER]],tblParameters[#Headers],0))*INDEX('PROJECT PARAMETERS'!$B$14:$H$14,1,MATCH(tblDetails[[#Headers],[GENERAL PARTNER]],tblParameters[#Headers],0))*tblDetails[[#This Row],[ESTIMATED WORK]]</f>
        <v>19250</v>
      </c>
      <c r="M22" s="13">
        <f>INDEX(tblParameters[],MATCH(tblDetails[[#This Row],[PROJECT TYPE]],tblParameters[PROJECT TYPE],0),MATCH(tblDetails[[#Headers],[BUSINESS LAWYER]],tblParameters[#Headers],0))*INDEX('PROJECT PARAMETERS'!$B$14:$H$14,1,MATCH(tblDetails[[#Headers],[BUSINESS LAWYER]],tblParameters[#Headers],0))*tblDetails[[#This Row],[ESTIMATED WORK]]</f>
        <v>55000</v>
      </c>
      <c r="N22" s="13">
        <f>INDEX(tblParameters[],MATCH(tblDetails[[#This Row],[PROJECT TYPE]],tblParameters[PROJECT TYPE],0),MATCH(tblDetails[[#Headers],[DEFENSE LITIGATOR]],tblParameters[#Headers],0))*INDEX('PROJECT PARAMETERS'!$B$14:$H$14,1,MATCH(tblDetails[[#Headers],[DEFENSE LITIGATOR]],tblParameters[#Headers],0))*tblDetails[[#This Row],[ESTIMATED WORK]]</f>
        <v>0</v>
      </c>
      <c r="O22"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15125</v>
      </c>
      <c r="P22" s="13">
        <f>INDEX(tblParameters[],MATCH(tblDetails[[#This Row],[PROJECT TYPE]],tblParameters[PROJECT TYPE],0),MATCH(tblDetails[[#Headers],[BANKRUPTCY LAWYER]],tblParameters[#Headers],0))*INDEX('PROJECT PARAMETERS'!$B$14:$H$14,1,MATCH(tblDetails[[#Headers],[BANKRUPTCY LAWYER]],tblParameters[#Headers],0))*tblDetails[[#This Row],[ESTIMATED WORK]]</f>
        <v>0</v>
      </c>
      <c r="Q22" s="13">
        <f>INDEX(tblParameters[],MATCH(tblDetails[[#This Row],[PROJECT TYPE]],tblParameters[PROJECT TYPE],0),MATCH(tblDetails[[#Headers],[ADMIN STAFF]],tblParameters[#Headers],0))*INDEX('PROJECT PARAMETERS'!$B$14:$H$14,1,MATCH(tblDetails[[#Headers],[ADMIN STAFF]],tblParameters[#Headers],0))*tblDetails[[#This Row],[ESTIMATED WORK]]</f>
        <v>27500</v>
      </c>
      <c r="R22" s="13">
        <f>INDEX(tblParameters[],MATCH(tblDetails[[#This Row],[PROJECT TYPE]],tblParameters[PROJECT TYPE],0),MATCH(tblDetails[[#Headers],[GENERAL PARTNER]],tblParameters[#Headers],0))*INDEX('PROJECT PARAMETERS'!$B$14:$H$14,1,MATCH(tblDetails[[#Headers],[GENERAL PARTNER]],tblParameters[#Headers],0))*tblDetails[[#This Row],[ACTUAL WORK]]</f>
        <v>19775</v>
      </c>
      <c r="S22" s="13">
        <f>INDEX(tblParameters[],MATCH(tblDetails[[#This Row],[PROJECT TYPE]],tblParameters[PROJECT TYPE],0),MATCH(tblDetails[[#Headers],[BUSINESS LAWYER]],tblParameters[#Headers],0))*INDEX('PROJECT PARAMETERS'!$B$14:$H$14,1,MATCH(tblDetails[[#Headers],[BUSINESS LAWYER]],tblParameters[#Headers],0))*tblDetails[[#This Row],[ACTUAL WORK]]</f>
        <v>56500</v>
      </c>
      <c r="T22" s="13">
        <f>INDEX(tblParameters[],MATCH(tblDetails[[#This Row],[PROJECT TYPE]],tblParameters[PROJECT TYPE],0),MATCH(tblDetails[[#Headers],[DEFENSE LITIGATOR]],tblParameters[#Headers],0))*INDEX('PROJECT PARAMETERS'!$B$14:$H$14,1,MATCH(tblDetails[[#Headers],[DEFENSE LITIGATOR]],tblParameters[#Headers],0))*tblDetails[[#This Row],[ACTUAL WORK]]</f>
        <v>0</v>
      </c>
      <c r="U22"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15537.5</v>
      </c>
      <c r="V22" s="13">
        <f>INDEX(tblParameters[],MATCH(tblDetails[[#This Row],[PROJECT TYPE]],tblParameters[PROJECT TYPE],0),MATCH(tblDetails[[#Headers],[BANKRUPTCY LAWYER]],tblParameters[#Headers],0))*INDEX('PROJECT PARAMETERS'!$B$14:$H$14,1,MATCH(tblDetails[[#Headers],[BANKRUPTCY LAWYER]],tblParameters[#Headers],0))*tblDetails[[#This Row],[ACTUAL WORK]]</f>
        <v>0</v>
      </c>
      <c r="W22" s="13">
        <f>INDEX(tblParameters[],MATCH(tblDetails[[#This Row],[PROJECT TYPE]],tblParameters[PROJECT TYPE],0),MATCH(tblDetails[[#Headers],[ADMIN STAFF]],tblParameters[#Headers],0))*INDEX('PROJECT PARAMETERS'!$B$14:$H$14,1,MATCH(tblDetails[[#Headers],[ADMIN STAFF]],tblParameters[#Headers],0))*tblDetails[[#This Row],[ACTUAL WORK]]</f>
        <v>28250</v>
      </c>
    </row>
    <row r="23" spans="2:23" x14ac:dyDescent="0.2">
      <c r="B23" t="s">
        <v>20</v>
      </c>
      <c r="C23" t="s">
        <v>56</v>
      </c>
      <c r="D23" s="11">
        <v>41662</v>
      </c>
      <c r="E23" s="11">
        <v>41705</v>
      </c>
      <c r="F23" s="11">
        <v>41705</v>
      </c>
      <c r="G23" s="11">
        <v>41737</v>
      </c>
      <c r="H23">
        <v>350</v>
      </c>
      <c r="I23">
        <v>350</v>
      </c>
      <c r="J23">
        <f>DAYS360(tblDetails[[#This Row],[ESTIMATED START]],tblDetails[[#This Row],[ESTIMATED FINISH]],FALSE)</f>
        <v>44</v>
      </c>
      <c r="K23">
        <f>DAYS360(tblDetails[[#This Row],[ACTUAL START]],tblDetails[[#This Row],[ACTUAL FINISH]],FALSE)</f>
        <v>31</v>
      </c>
      <c r="L23" s="13">
        <f>INDEX(tblParameters[],MATCH(tblDetails[[#This Row],[PROJECT TYPE]],tblParameters[PROJECT TYPE],0),MATCH(tblDetails[[#Headers],[GENERAL PARTNER]],tblParameters[#Headers],0))*INDEX('PROJECT PARAMETERS'!$B$14:$H$14,1,MATCH(tblDetails[[#Headers],[GENERAL PARTNER]],tblParameters[#Headers],0))*tblDetails[[#This Row],[ESTIMATED WORK]]</f>
        <v>12250</v>
      </c>
      <c r="M23" s="13">
        <f>INDEX(tblParameters[],MATCH(tblDetails[[#This Row],[PROJECT TYPE]],tblParameters[PROJECT TYPE],0),MATCH(tblDetails[[#Headers],[BUSINESS LAWYER]],tblParameters[#Headers],0))*INDEX('PROJECT PARAMETERS'!$B$14:$H$14,1,MATCH(tblDetails[[#Headers],[BUSINESS LAWYER]],tblParameters[#Headers],0))*tblDetails[[#This Row],[ESTIMATED WORK]]</f>
        <v>17500</v>
      </c>
      <c r="N23" s="13">
        <f>INDEX(tblParameters[],MATCH(tblDetails[[#This Row],[PROJECT TYPE]],tblParameters[PROJECT TYPE],0),MATCH(tblDetails[[#Headers],[DEFENSE LITIGATOR]],tblParameters[#Headers],0))*INDEX('PROJECT PARAMETERS'!$B$14:$H$14,1,MATCH(tblDetails[[#Headers],[DEFENSE LITIGATOR]],tblParameters[#Headers],0))*tblDetails[[#This Row],[ESTIMATED WORK]]</f>
        <v>0</v>
      </c>
      <c r="O23"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23" s="13">
        <f>INDEX(tblParameters[],MATCH(tblDetails[[#This Row],[PROJECT TYPE]],tblParameters[PROJECT TYPE],0),MATCH(tblDetails[[#Headers],[BANKRUPTCY LAWYER]],tblParameters[#Headers],0))*INDEX('PROJECT PARAMETERS'!$B$14:$H$14,1,MATCH(tblDetails[[#Headers],[BANKRUPTCY LAWYER]],tblParameters[#Headers],0))*tblDetails[[#This Row],[ESTIMATED WORK]]</f>
        <v>31500</v>
      </c>
      <c r="Q23" s="13">
        <f>INDEX(tblParameters[],MATCH(tblDetails[[#This Row],[PROJECT TYPE]],tblParameters[PROJECT TYPE],0),MATCH(tblDetails[[#Headers],[ADMIN STAFF]],tblParameters[#Headers],0))*INDEX('PROJECT PARAMETERS'!$B$14:$H$14,1,MATCH(tblDetails[[#Headers],[ADMIN STAFF]],tblParameters[#Headers],0))*tblDetails[[#This Row],[ESTIMATED WORK]]</f>
        <v>13125</v>
      </c>
      <c r="R23" s="13">
        <f>INDEX(tblParameters[],MATCH(tblDetails[[#This Row],[PROJECT TYPE]],tblParameters[PROJECT TYPE],0),MATCH(tblDetails[[#Headers],[GENERAL PARTNER]],tblParameters[#Headers],0))*INDEX('PROJECT PARAMETERS'!$B$14:$H$14,1,MATCH(tblDetails[[#Headers],[GENERAL PARTNER]],tblParameters[#Headers],0))*tblDetails[[#This Row],[ACTUAL WORK]]</f>
        <v>12250</v>
      </c>
      <c r="S23" s="13">
        <f>INDEX(tblParameters[],MATCH(tblDetails[[#This Row],[PROJECT TYPE]],tblParameters[PROJECT TYPE],0),MATCH(tblDetails[[#Headers],[BUSINESS LAWYER]],tblParameters[#Headers],0))*INDEX('PROJECT PARAMETERS'!$B$14:$H$14,1,MATCH(tblDetails[[#Headers],[BUSINESS LAWYER]],tblParameters[#Headers],0))*tblDetails[[#This Row],[ACTUAL WORK]]</f>
        <v>17500</v>
      </c>
      <c r="T23" s="13">
        <f>INDEX(tblParameters[],MATCH(tblDetails[[#This Row],[PROJECT TYPE]],tblParameters[PROJECT TYPE],0),MATCH(tblDetails[[#Headers],[DEFENSE LITIGATOR]],tblParameters[#Headers],0))*INDEX('PROJECT PARAMETERS'!$B$14:$H$14,1,MATCH(tblDetails[[#Headers],[DEFENSE LITIGATOR]],tblParameters[#Headers],0))*tblDetails[[#This Row],[ACTUAL WORK]]</f>
        <v>0</v>
      </c>
      <c r="U23"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23" s="13">
        <f>INDEX(tblParameters[],MATCH(tblDetails[[#This Row],[PROJECT TYPE]],tblParameters[PROJECT TYPE],0),MATCH(tblDetails[[#Headers],[BANKRUPTCY LAWYER]],tblParameters[#Headers],0))*INDEX('PROJECT PARAMETERS'!$B$14:$H$14,1,MATCH(tblDetails[[#Headers],[BANKRUPTCY LAWYER]],tblParameters[#Headers],0))*tblDetails[[#This Row],[ACTUAL WORK]]</f>
        <v>31500</v>
      </c>
      <c r="W23" s="13">
        <f>INDEX(tblParameters[],MATCH(tblDetails[[#This Row],[PROJECT TYPE]],tblParameters[PROJECT TYPE],0),MATCH(tblDetails[[#Headers],[ADMIN STAFF]],tblParameters[#Headers],0))*INDEX('PROJECT PARAMETERS'!$B$14:$H$14,1,MATCH(tblDetails[[#Headers],[ADMIN STAFF]],tblParameters[#Headers],0))*tblDetails[[#This Row],[ACTUAL WORK]]</f>
        <v>13125</v>
      </c>
    </row>
    <row r="24" spans="2:23" x14ac:dyDescent="0.2">
      <c r="B24" t="s">
        <v>21</v>
      </c>
      <c r="C24" t="s">
        <v>51</v>
      </c>
      <c r="D24" s="11">
        <v>41675</v>
      </c>
      <c r="E24" s="11">
        <v>41746</v>
      </c>
      <c r="F24" s="11">
        <v>41705</v>
      </c>
      <c r="G24" s="11">
        <v>41793</v>
      </c>
      <c r="H24">
        <v>200</v>
      </c>
      <c r="I24">
        <v>205</v>
      </c>
      <c r="J24">
        <f>DAYS360(tblDetails[[#This Row],[ESTIMATED START]],tblDetails[[#This Row],[ESTIMATED FINISH]],FALSE)</f>
        <v>72</v>
      </c>
      <c r="K24">
        <f>DAYS360(tblDetails[[#This Row],[ACTUAL START]],tblDetails[[#This Row],[ACTUAL FINISH]],FALSE)</f>
        <v>86</v>
      </c>
      <c r="L24" s="13">
        <f>INDEX(tblParameters[],MATCH(tblDetails[[#This Row],[PROJECT TYPE]],tblParameters[PROJECT TYPE],0),MATCH(tblDetails[[#Headers],[GENERAL PARTNER]],tblParameters[#Headers],0))*INDEX('PROJECT PARAMETERS'!$B$14:$H$14,1,MATCH(tblDetails[[#Headers],[GENERAL PARTNER]],tblParameters[#Headers],0))*tblDetails[[#This Row],[ESTIMATED WORK]]</f>
        <v>7000</v>
      </c>
      <c r="M24" s="13">
        <f>INDEX(tblParameters[],MATCH(tblDetails[[#This Row],[PROJECT TYPE]],tblParameters[PROJECT TYPE],0),MATCH(tblDetails[[#Headers],[BUSINESS LAWYER]],tblParameters[#Headers],0))*INDEX('PROJECT PARAMETERS'!$B$14:$H$14,1,MATCH(tblDetails[[#Headers],[BUSINESS LAWYER]],tblParameters[#Headers],0))*tblDetails[[#This Row],[ESTIMATED WORK]]</f>
        <v>20000</v>
      </c>
      <c r="N24" s="13">
        <f>INDEX(tblParameters[],MATCH(tblDetails[[#This Row],[PROJECT TYPE]],tblParameters[PROJECT TYPE],0),MATCH(tblDetails[[#Headers],[DEFENSE LITIGATOR]],tblParameters[#Headers],0))*INDEX('PROJECT PARAMETERS'!$B$14:$H$14,1,MATCH(tblDetails[[#Headers],[DEFENSE LITIGATOR]],tblParameters[#Headers],0))*tblDetails[[#This Row],[ESTIMATED WORK]]</f>
        <v>0</v>
      </c>
      <c r="O24"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24" s="13">
        <f>INDEX(tblParameters[],MATCH(tblDetails[[#This Row],[PROJECT TYPE]],tblParameters[PROJECT TYPE],0),MATCH(tblDetails[[#Headers],[BANKRUPTCY LAWYER]],tblParameters[#Headers],0))*INDEX('PROJECT PARAMETERS'!$B$14:$H$14,1,MATCH(tblDetails[[#Headers],[BANKRUPTCY LAWYER]],tblParameters[#Headers],0))*tblDetails[[#This Row],[ESTIMATED WORK]]</f>
        <v>0</v>
      </c>
      <c r="Q24" s="13">
        <f>INDEX(tblParameters[],MATCH(tblDetails[[#This Row],[PROJECT TYPE]],tblParameters[PROJECT TYPE],0),MATCH(tblDetails[[#Headers],[ADMIN STAFF]],tblParameters[#Headers],0))*INDEX('PROJECT PARAMETERS'!$B$14:$H$14,1,MATCH(tblDetails[[#Headers],[ADMIN STAFF]],tblParameters[#Headers],0))*tblDetails[[#This Row],[ESTIMATED WORK]]</f>
        <v>12500</v>
      </c>
      <c r="R24" s="13">
        <f>INDEX(tblParameters[],MATCH(tblDetails[[#This Row],[PROJECT TYPE]],tblParameters[PROJECT TYPE],0),MATCH(tblDetails[[#Headers],[GENERAL PARTNER]],tblParameters[#Headers],0))*INDEX('PROJECT PARAMETERS'!$B$14:$H$14,1,MATCH(tblDetails[[#Headers],[GENERAL PARTNER]],tblParameters[#Headers],0))*tblDetails[[#This Row],[ACTUAL WORK]]</f>
        <v>7175</v>
      </c>
      <c r="S24" s="13">
        <f>INDEX(tblParameters[],MATCH(tblDetails[[#This Row],[PROJECT TYPE]],tblParameters[PROJECT TYPE],0),MATCH(tblDetails[[#Headers],[BUSINESS LAWYER]],tblParameters[#Headers],0))*INDEX('PROJECT PARAMETERS'!$B$14:$H$14,1,MATCH(tblDetails[[#Headers],[BUSINESS LAWYER]],tblParameters[#Headers],0))*tblDetails[[#This Row],[ACTUAL WORK]]</f>
        <v>20500</v>
      </c>
      <c r="T24" s="13">
        <f>INDEX(tblParameters[],MATCH(tblDetails[[#This Row],[PROJECT TYPE]],tblParameters[PROJECT TYPE],0),MATCH(tblDetails[[#Headers],[DEFENSE LITIGATOR]],tblParameters[#Headers],0))*INDEX('PROJECT PARAMETERS'!$B$14:$H$14,1,MATCH(tblDetails[[#Headers],[DEFENSE LITIGATOR]],tblParameters[#Headers],0))*tblDetails[[#This Row],[ACTUAL WORK]]</f>
        <v>0</v>
      </c>
      <c r="U24"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24" s="13">
        <f>INDEX(tblParameters[],MATCH(tblDetails[[#This Row],[PROJECT TYPE]],tblParameters[PROJECT TYPE],0),MATCH(tblDetails[[#Headers],[BANKRUPTCY LAWYER]],tblParameters[#Headers],0))*INDEX('PROJECT PARAMETERS'!$B$14:$H$14,1,MATCH(tblDetails[[#Headers],[BANKRUPTCY LAWYER]],tblParameters[#Headers],0))*tblDetails[[#This Row],[ACTUAL WORK]]</f>
        <v>0</v>
      </c>
      <c r="W24" s="13">
        <f>INDEX(tblParameters[],MATCH(tblDetails[[#This Row],[PROJECT TYPE]],tblParameters[PROJECT TYPE],0),MATCH(tblDetails[[#Headers],[ADMIN STAFF]],tblParameters[#Headers],0))*INDEX('PROJECT PARAMETERS'!$B$14:$H$14,1,MATCH(tblDetails[[#Headers],[ADMIN STAFF]],tblParameters[#Headers],0))*tblDetails[[#This Row],[ACTUAL WORK]]</f>
        <v>12812.5</v>
      </c>
    </row>
    <row r="25" spans="2:23" x14ac:dyDescent="0.2">
      <c r="B25" t="s">
        <v>22</v>
      </c>
      <c r="C25" t="s">
        <v>55</v>
      </c>
      <c r="D25" s="11">
        <v>41685</v>
      </c>
      <c r="E25" s="11">
        <v>41759</v>
      </c>
      <c r="F25" s="11">
        <v>41724</v>
      </c>
      <c r="G25" s="11">
        <v>41799</v>
      </c>
      <c r="H25">
        <v>220</v>
      </c>
      <c r="I25">
        <v>230</v>
      </c>
      <c r="J25">
        <f>DAYS360(tblDetails[[#This Row],[ESTIMATED START]],tblDetails[[#This Row],[ESTIMATED FINISH]],FALSE)</f>
        <v>75</v>
      </c>
      <c r="K25">
        <f>DAYS360(tblDetails[[#This Row],[ACTUAL START]],tblDetails[[#This Row],[ACTUAL FINISH]],FALSE)</f>
        <v>73</v>
      </c>
      <c r="L25" s="13">
        <f>INDEX(tblParameters[],MATCH(tblDetails[[#This Row],[PROJECT TYPE]],tblParameters[PROJECT TYPE],0),MATCH(tblDetails[[#Headers],[GENERAL PARTNER]],tblParameters[#Headers],0))*INDEX('PROJECT PARAMETERS'!$B$14:$H$14,1,MATCH(tblDetails[[#Headers],[GENERAL PARTNER]],tblParameters[#Headers],0))*tblDetails[[#This Row],[ESTIMATED WORK]]</f>
        <v>15400</v>
      </c>
      <c r="M25" s="13">
        <f>INDEX(tblParameters[],MATCH(tblDetails[[#This Row],[PROJECT TYPE]],tblParameters[PROJECT TYPE],0),MATCH(tblDetails[[#Headers],[BUSINESS LAWYER]],tblParameters[#Headers],0))*INDEX('PROJECT PARAMETERS'!$B$14:$H$14,1,MATCH(tblDetails[[#Headers],[BUSINESS LAWYER]],tblParameters[#Headers],0))*tblDetails[[#This Row],[ESTIMATED WORK]]</f>
        <v>5500</v>
      </c>
      <c r="N25" s="13">
        <f>INDEX(tblParameters[],MATCH(tblDetails[[#This Row],[PROJECT TYPE]],tblParameters[PROJECT TYPE],0),MATCH(tblDetails[[#Headers],[DEFENSE LITIGATOR]],tblParameters[#Headers],0))*INDEX('PROJECT PARAMETERS'!$B$14:$H$14,1,MATCH(tblDetails[[#Headers],[DEFENSE LITIGATOR]],tblParameters[#Headers],0))*tblDetails[[#This Row],[ESTIMATED WORK]]</f>
        <v>26400</v>
      </c>
      <c r="O25"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25" s="13">
        <f>INDEX(tblParameters[],MATCH(tblDetails[[#This Row],[PROJECT TYPE]],tblParameters[PROJECT TYPE],0),MATCH(tblDetails[[#Headers],[BANKRUPTCY LAWYER]],tblParameters[#Headers],0))*INDEX('PROJECT PARAMETERS'!$B$14:$H$14,1,MATCH(tblDetails[[#Headers],[BANKRUPTCY LAWYER]],tblParameters[#Headers],0))*tblDetails[[#This Row],[ESTIMATED WORK]]</f>
        <v>0</v>
      </c>
      <c r="Q25" s="13">
        <f>INDEX(tblParameters[],MATCH(tblDetails[[#This Row],[PROJECT TYPE]],tblParameters[PROJECT TYPE],0),MATCH(tblDetails[[#Headers],[ADMIN STAFF]],tblParameters[#Headers],0))*INDEX('PROJECT PARAMETERS'!$B$14:$H$14,1,MATCH(tblDetails[[#Headers],[ADMIN STAFF]],tblParameters[#Headers],0))*tblDetails[[#This Row],[ESTIMATED WORK]]</f>
        <v>8250</v>
      </c>
      <c r="R25" s="13">
        <f>INDEX(tblParameters[],MATCH(tblDetails[[#This Row],[PROJECT TYPE]],tblParameters[PROJECT TYPE],0),MATCH(tblDetails[[#Headers],[GENERAL PARTNER]],tblParameters[#Headers],0))*INDEX('PROJECT PARAMETERS'!$B$14:$H$14,1,MATCH(tblDetails[[#Headers],[GENERAL PARTNER]],tblParameters[#Headers],0))*tblDetails[[#This Row],[ACTUAL WORK]]</f>
        <v>16100</v>
      </c>
      <c r="S25" s="13">
        <f>INDEX(tblParameters[],MATCH(tblDetails[[#This Row],[PROJECT TYPE]],tblParameters[PROJECT TYPE],0),MATCH(tblDetails[[#Headers],[BUSINESS LAWYER]],tblParameters[#Headers],0))*INDEX('PROJECT PARAMETERS'!$B$14:$H$14,1,MATCH(tblDetails[[#Headers],[BUSINESS LAWYER]],tblParameters[#Headers],0))*tblDetails[[#This Row],[ACTUAL WORK]]</f>
        <v>5750</v>
      </c>
      <c r="T25" s="13">
        <f>INDEX(tblParameters[],MATCH(tblDetails[[#This Row],[PROJECT TYPE]],tblParameters[PROJECT TYPE],0),MATCH(tblDetails[[#Headers],[DEFENSE LITIGATOR]],tblParameters[#Headers],0))*INDEX('PROJECT PARAMETERS'!$B$14:$H$14,1,MATCH(tblDetails[[#Headers],[DEFENSE LITIGATOR]],tblParameters[#Headers],0))*tblDetails[[#This Row],[ACTUAL WORK]]</f>
        <v>27600</v>
      </c>
      <c r="U25"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25" s="13">
        <f>INDEX(tblParameters[],MATCH(tblDetails[[#This Row],[PROJECT TYPE]],tblParameters[PROJECT TYPE],0),MATCH(tblDetails[[#Headers],[BANKRUPTCY LAWYER]],tblParameters[#Headers],0))*INDEX('PROJECT PARAMETERS'!$B$14:$H$14,1,MATCH(tblDetails[[#Headers],[BANKRUPTCY LAWYER]],tblParameters[#Headers],0))*tblDetails[[#This Row],[ACTUAL WORK]]</f>
        <v>0</v>
      </c>
      <c r="W25" s="13">
        <f>INDEX(tblParameters[],MATCH(tblDetails[[#This Row],[PROJECT TYPE]],tblParameters[PROJECT TYPE],0),MATCH(tblDetails[[#Headers],[ADMIN STAFF]],tblParameters[#Headers],0))*INDEX('PROJECT PARAMETERS'!$B$14:$H$14,1,MATCH(tblDetails[[#Headers],[ADMIN STAFF]],tblParameters[#Headers],0))*tblDetails[[#This Row],[ACTUAL WORK]]</f>
        <v>8625</v>
      </c>
    </row>
    <row r="26" spans="2:23" x14ac:dyDescent="0.2">
      <c r="B26" t="s">
        <v>23</v>
      </c>
      <c r="C26" t="s">
        <v>56</v>
      </c>
      <c r="D26" s="11">
        <v>41715</v>
      </c>
      <c r="E26" s="11">
        <v>41784</v>
      </c>
      <c r="F26" s="11">
        <v>41758</v>
      </c>
      <c r="G26" s="11">
        <v>41821</v>
      </c>
      <c r="H26">
        <v>600</v>
      </c>
      <c r="I26">
        <v>560</v>
      </c>
      <c r="J26">
        <f>DAYS360(tblDetails[[#This Row],[ESTIMATED START]],tblDetails[[#This Row],[ESTIMATED FINISH]],FALSE)</f>
        <v>68</v>
      </c>
      <c r="K26">
        <f>DAYS360(tblDetails[[#This Row],[ACTUAL START]],tblDetails[[#This Row],[ACTUAL FINISH]],FALSE)</f>
        <v>62</v>
      </c>
      <c r="L26" s="13">
        <f>INDEX(tblParameters[],MATCH(tblDetails[[#This Row],[PROJECT TYPE]],tblParameters[PROJECT TYPE],0),MATCH(tblDetails[[#Headers],[GENERAL PARTNER]],tblParameters[#Headers],0))*INDEX('PROJECT PARAMETERS'!$B$14:$H$14,1,MATCH(tblDetails[[#Headers],[GENERAL PARTNER]],tblParameters[#Headers],0))*tblDetails[[#This Row],[ESTIMATED WORK]]</f>
        <v>21000</v>
      </c>
      <c r="M26" s="13">
        <f>INDEX(tblParameters[],MATCH(tblDetails[[#This Row],[PROJECT TYPE]],tblParameters[PROJECT TYPE],0),MATCH(tblDetails[[#Headers],[BUSINESS LAWYER]],tblParameters[#Headers],0))*INDEX('PROJECT PARAMETERS'!$B$14:$H$14,1,MATCH(tblDetails[[#Headers],[BUSINESS LAWYER]],tblParameters[#Headers],0))*tblDetails[[#This Row],[ESTIMATED WORK]]</f>
        <v>30000</v>
      </c>
      <c r="N26" s="13">
        <f>INDEX(tblParameters[],MATCH(tblDetails[[#This Row],[PROJECT TYPE]],tblParameters[PROJECT TYPE],0),MATCH(tblDetails[[#Headers],[DEFENSE LITIGATOR]],tblParameters[#Headers],0))*INDEX('PROJECT PARAMETERS'!$B$14:$H$14,1,MATCH(tblDetails[[#Headers],[DEFENSE LITIGATOR]],tblParameters[#Headers],0))*tblDetails[[#This Row],[ESTIMATED WORK]]</f>
        <v>0</v>
      </c>
      <c r="O26"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26" s="13">
        <f>INDEX(tblParameters[],MATCH(tblDetails[[#This Row],[PROJECT TYPE]],tblParameters[PROJECT TYPE],0),MATCH(tblDetails[[#Headers],[BANKRUPTCY LAWYER]],tblParameters[#Headers],0))*INDEX('PROJECT PARAMETERS'!$B$14:$H$14,1,MATCH(tblDetails[[#Headers],[BANKRUPTCY LAWYER]],tblParameters[#Headers],0))*tblDetails[[#This Row],[ESTIMATED WORK]]</f>
        <v>54000</v>
      </c>
      <c r="Q26" s="13">
        <f>INDEX(tblParameters[],MATCH(tblDetails[[#This Row],[PROJECT TYPE]],tblParameters[PROJECT TYPE],0),MATCH(tblDetails[[#Headers],[ADMIN STAFF]],tblParameters[#Headers],0))*INDEX('PROJECT PARAMETERS'!$B$14:$H$14,1,MATCH(tblDetails[[#Headers],[ADMIN STAFF]],tblParameters[#Headers],0))*tblDetails[[#This Row],[ESTIMATED WORK]]</f>
        <v>22500</v>
      </c>
      <c r="R26" s="13">
        <f>INDEX(tblParameters[],MATCH(tblDetails[[#This Row],[PROJECT TYPE]],tblParameters[PROJECT TYPE],0),MATCH(tblDetails[[#Headers],[GENERAL PARTNER]],tblParameters[#Headers],0))*INDEX('PROJECT PARAMETERS'!$B$14:$H$14,1,MATCH(tblDetails[[#Headers],[GENERAL PARTNER]],tblParameters[#Headers],0))*tblDetails[[#This Row],[ACTUAL WORK]]</f>
        <v>19600</v>
      </c>
      <c r="S26" s="13">
        <f>INDEX(tblParameters[],MATCH(tblDetails[[#This Row],[PROJECT TYPE]],tblParameters[PROJECT TYPE],0),MATCH(tblDetails[[#Headers],[BUSINESS LAWYER]],tblParameters[#Headers],0))*INDEX('PROJECT PARAMETERS'!$B$14:$H$14,1,MATCH(tblDetails[[#Headers],[BUSINESS LAWYER]],tblParameters[#Headers],0))*tblDetails[[#This Row],[ACTUAL WORK]]</f>
        <v>28000</v>
      </c>
      <c r="T26" s="13">
        <f>INDEX(tblParameters[],MATCH(tblDetails[[#This Row],[PROJECT TYPE]],tblParameters[PROJECT TYPE],0),MATCH(tblDetails[[#Headers],[DEFENSE LITIGATOR]],tblParameters[#Headers],0))*INDEX('PROJECT PARAMETERS'!$B$14:$H$14,1,MATCH(tblDetails[[#Headers],[DEFENSE LITIGATOR]],tblParameters[#Headers],0))*tblDetails[[#This Row],[ACTUAL WORK]]</f>
        <v>0</v>
      </c>
      <c r="U26"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26" s="13">
        <f>INDEX(tblParameters[],MATCH(tblDetails[[#This Row],[PROJECT TYPE]],tblParameters[PROJECT TYPE],0),MATCH(tblDetails[[#Headers],[BANKRUPTCY LAWYER]],tblParameters[#Headers],0))*INDEX('PROJECT PARAMETERS'!$B$14:$H$14,1,MATCH(tblDetails[[#Headers],[BANKRUPTCY LAWYER]],tblParameters[#Headers],0))*tblDetails[[#This Row],[ACTUAL WORK]]</f>
        <v>50400</v>
      </c>
      <c r="W26" s="13">
        <f>INDEX(tblParameters[],MATCH(tblDetails[[#This Row],[PROJECT TYPE]],tblParameters[PROJECT TYPE],0),MATCH(tblDetails[[#Headers],[ADMIN STAFF]],tblParameters[#Headers],0))*INDEX('PROJECT PARAMETERS'!$B$14:$H$14,1,MATCH(tblDetails[[#Headers],[ADMIN STAFF]],tblParameters[#Headers],0))*tblDetails[[#This Row],[ACTUAL WORK]]</f>
        <v>21000</v>
      </c>
    </row>
    <row r="27" spans="2:23" x14ac:dyDescent="0.2">
      <c r="B27" t="s">
        <v>24</v>
      </c>
      <c r="C27" t="s">
        <v>54</v>
      </c>
      <c r="D27" s="11">
        <v>41727</v>
      </c>
      <c r="E27" s="11">
        <v>41778</v>
      </c>
      <c r="F27" s="11">
        <v>41777</v>
      </c>
      <c r="G27" s="11">
        <v>41809</v>
      </c>
      <c r="H27">
        <v>525</v>
      </c>
      <c r="I27">
        <v>540</v>
      </c>
      <c r="J27">
        <f>DAYS360(tblDetails[[#This Row],[ESTIMATED START]],tblDetails[[#This Row],[ESTIMATED FINISH]],FALSE)</f>
        <v>50</v>
      </c>
      <c r="K27">
        <f>DAYS360(tblDetails[[#This Row],[ACTUAL START]],tblDetails[[#This Row],[ACTUAL FINISH]],FALSE)</f>
        <v>31</v>
      </c>
      <c r="L27" s="13">
        <f>INDEX(tblParameters[],MATCH(tblDetails[[#This Row],[PROJECT TYPE]],tblParameters[PROJECT TYPE],0),MATCH(tblDetails[[#Headers],[GENERAL PARTNER]],tblParameters[#Headers],0))*INDEX('PROJECT PARAMETERS'!$B$14:$H$14,1,MATCH(tblDetails[[#Headers],[GENERAL PARTNER]],tblParameters[#Headers],0))*tblDetails[[#This Row],[ESTIMATED WORK]]</f>
        <v>18375</v>
      </c>
      <c r="M27" s="13">
        <f>INDEX(tblParameters[],MATCH(tblDetails[[#This Row],[PROJECT TYPE]],tblParameters[PROJECT TYPE],0),MATCH(tblDetails[[#Headers],[BUSINESS LAWYER]],tblParameters[#Headers],0))*INDEX('PROJECT PARAMETERS'!$B$14:$H$14,1,MATCH(tblDetails[[#Headers],[BUSINESS LAWYER]],tblParameters[#Headers],0))*tblDetails[[#This Row],[ESTIMATED WORK]]</f>
        <v>0</v>
      </c>
      <c r="N27" s="13">
        <f>INDEX(tblParameters[],MATCH(tblDetails[[#This Row],[PROJECT TYPE]],tblParameters[PROJECT TYPE],0),MATCH(tblDetails[[#Headers],[DEFENSE LITIGATOR]],tblParameters[#Headers],0))*INDEX('PROJECT PARAMETERS'!$B$14:$H$14,1,MATCH(tblDetails[[#Headers],[DEFENSE LITIGATOR]],tblParameters[#Headers],0))*tblDetails[[#This Row],[ESTIMATED WORK]]</f>
        <v>0</v>
      </c>
      <c r="O27"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86625</v>
      </c>
      <c r="P27" s="13">
        <f>INDEX(tblParameters[],MATCH(tblDetails[[#This Row],[PROJECT TYPE]],tblParameters[PROJECT TYPE],0),MATCH(tblDetails[[#Headers],[BANKRUPTCY LAWYER]],tblParameters[#Headers],0))*INDEX('PROJECT PARAMETERS'!$B$14:$H$14,1,MATCH(tblDetails[[#Headers],[BANKRUPTCY LAWYER]],tblParameters[#Headers],0))*tblDetails[[#This Row],[ESTIMATED WORK]]</f>
        <v>0</v>
      </c>
      <c r="Q27" s="13">
        <f>INDEX(tblParameters[],MATCH(tblDetails[[#This Row],[PROJECT TYPE]],tblParameters[PROJECT TYPE],0),MATCH(tblDetails[[#Headers],[ADMIN STAFF]],tblParameters[#Headers],0))*INDEX('PROJECT PARAMETERS'!$B$14:$H$14,1,MATCH(tblDetails[[#Headers],[ADMIN STAFF]],tblParameters[#Headers],0))*tblDetails[[#This Row],[ESTIMATED WORK]]</f>
        <v>19687.5</v>
      </c>
      <c r="R27" s="13">
        <f>INDEX(tblParameters[],MATCH(tblDetails[[#This Row],[PROJECT TYPE]],tblParameters[PROJECT TYPE],0),MATCH(tblDetails[[#Headers],[GENERAL PARTNER]],tblParameters[#Headers],0))*INDEX('PROJECT PARAMETERS'!$B$14:$H$14,1,MATCH(tblDetails[[#Headers],[GENERAL PARTNER]],tblParameters[#Headers],0))*tblDetails[[#This Row],[ACTUAL WORK]]</f>
        <v>18900</v>
      </c>
      <c r="S27" s="13">
        <f>INDEX(tblParameters[],MATCH(tblDetails[[#This Row],[PROJECT TYPE]],tblParameters[PROJECT TYPE],0),MATCH(tblDetails[[#Headers],[BUSINESS LAWYER]],tblParameters[#Headers],0))*INDEX('PROJECT PARAMETERS'!$B$14:$H$14,1,MATCH(tblDetails[[#Headers],[BUSINESS LAWYER]],tblParameters[#Headers],0))*tblDetails[[#This Row],[ACTUAL WORK]]</f>
        <v>0</v>
      </c>
      <c r="T27" s="13">
        <f>INDEX(tblParameters[],MATCH(tblDetails[[#This Row],[PROJECT TYPE]],tblParameters[PROJECT TYPE],0),MATCH(tblDetails[[#Headers],[DEFENSE LITIGATOR]],tblParameters[#Headers],0))*INDEX('PROJECT PARAMETERS'!$B$14:$H$14,1,MATCH(tblDetails[[#Headers],[DEFENSE LITIGATOR]],tblParameters[#Headers],0))*tblDetails[[#This Row],[ACTUAL WORK]]</f>
        <v>0</v>
      </c>
      <c r="U27"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89100</v>
      </c>
      <c r="V27" s="13">
        <f>INDEX(tblParameters[],MATCH(tblDetails[[#This Row],[PROJECT TYPE]],tblParameters[PROJECT TYPE],0),MATCH(tblDetails[[#Headers],[BANKRUPTCY LAWYER]],tblParameters[#Headers],0))*INDEX('PROJECT PARAMETERS'!$B$14:$H$14,1,MATCH(tblDetails[[#Headers],[BANKRUPTCY LAWYER]],tblParameters[#Headers],0))*tblDetails[[#This Row],[ACTUAL WORK]]</f>
        <v>0</v>
      </c>
      <c r="W27" s="13">
        <f>INDEX(tblParameters[],MATCH(tblDetails[[#This Row],[PROJECT TYPE]],tblParameters[PROJECT TYPE],0),MATCH(tblDetails[[#Headers],[ADMIN STAFF]],tblParameters[#Headers],0))*INDEX('PROJECT PARAMETERS'!$B$14:$H$14,1,MATCH(tblDetails[[#Headers],[ADMIN STAFF]],tblParameters[#Headers],0))*tblDetails[[#This Row],[ACTUAL WORK]]</f>
        <v>20250</v>
      </c>
    </row>
    <row r="28" spans="2:23" x14ac:dyDescent="0.2">
      <c r="B28" t="s">
        <v>25</v>
      </c>
      <c r="C28" t="s">
        <v>55</v>
      </c>
      <c r="D28" s="11">
        <v>41738</v>
      </c>
      <c r="E28" s="11">
        <v>41758</v>
      </c>
      <c r="F28" s="11">
        <v>41761</v>
      </c>
      <c r="G28" s="11">
        <v>41794</v>
      </c>
      <c r="H28">
        <v>180</v>
      </c>
      <c r="I28">
        <v>190</v>
      </c>
      <c r="J28">
        <f>DAYS360(tblDetails[[#This Row],[ESTIMATED START]],tblDetails[[#This Row],[ESTIMATED FINISH]],FALSE)</f>
        <v>20</v>
      </c>
      <c r="K28">
        <f>DAYS360(tblDetails[[#This Row],[ACTUAL START]],tblDetails[[#This Row],[ACTUAL FINISH]],FALSE)</f>
        <v>32</v>
      </c>
      <c r="L28" s="13">
        <f>INDEX(tblParameters[],MATCH(tblDetails[[#This Row],[PROJECT TYPE]],tblParameters[PROJECT TYPE],0),MATCH(tblDetails[[#Headers],[GENERAL PARTNER]],tblParameters[#Headers],0))*INDEX('PROJECT PARAMETERS'!$B$14:$H$14,1,MATCH(tblDetails[[#Headers],[GENERAL PARTNER]],tblParameters[#Headers],0))*tblDetails[[#This Row],[ESTIMATED WORK]]</f>
        <v>12600</v>
      </c>
      <c r="M28" s="13">
        <f>INDEX(tblParameters[],MATCH(tblDetails[[#This Row],[PROJECT TYPE]],tblParameters[PROJECT TYPE],0),MATCH(tblDetails[[#Headers],[BUSINESS LAWYER]],tblParameters[#Headers],0))*INDEX('PROJECT PARAMETERS'!$B$14:$H$14,1,MATCH(tblDetails[[#Headers],[BUSINESS LAWYER]],tblParameters[#Headers],0))*tblDetails[[#This Row],[ESTIMATED WORK]]</f>
        <v>4500</v>
      </c>
      <c r="N28" s="13">
        <f>INDEX(tblParameters[],MATCH(tblDetails[[#This Row],[PROJECT TYPE]],tblParameters[PROJECT TYPE],0),MATCH(tblDetails[[#Headers],[DEFENSE LITIGATOR]],tblParameters[#Headers],0))*INDEX('PROJECT PARAMETERS'!$B$14:$H$14,1,MATCH(tblDetails[[#Headers],[DEFENSE LITIGATOR]],tblParameters[#Headers],0))*tblDetails[[#This Row],[ESTIMATED WORK]]</f>
        <v>21600</v>
      </c>
      <c r="O28" s="13">
        <f>INDEX(tblParameters[],MATCH(tblDetails[[#This Row],[PROJECT TYPE]],tblParameters[PROJECT TYPE],0),MATCH(tblDetails[[#Headers],[INTELLECTUAL PROPERTY LAWYER]],tblParameters[#Headers],0))*INDEX('PROJECT PARAMETERS'!$B$14:$H$14,1,MATCH(tblDetails[[#Headers],[INTELLECTUAL PROPERTY LAWYER]],tblParameters[#Headers],0))*tblDetails[[#This Row],[ESTIMATED WORK]]</f>
        <v>0</v>
      </c>
      <c r="P28" s="13">
        <f>INDEX(tblParameters[],MATCH(tblDetails[[#This Row],[PROJECT TYPE]],tblParameters[PROJECT TYPE],0),MATCH(tblDetails[[#Headers],[BANKRUPTCY LAWYER]],tblParameters[#Headers],0))*INDEX('PROJECT PARAMETERS'!$B$14:$H$14,1,MATCH(tblDetails[[#Headers],[BANKRUPTCY LAWYER]],tblParameters[#Headers],0))*tblDetails[[#This Row],[ESTIMATED WORK]]</f>
        <v>0</v>
      </c>
      <c r="Q28" s="13">
        <f>INDEX(tblParameters[],MATCH(tblDetails[[#This Row],[PROJECT TYPE]],tblParameters[PROJECT TYPE],0),MATCH(tblDetails[[#Headers],[ADMIN STAFF]],tblParameters[#Headers],0))*INDEX('PROJECT PARAMETERS'!$B$14:$H$14,1,MATCH(tblDetails[[#Headers],[ADMIN STAFF]],tblParameters[#Headers],0))*tblDetails[[#This Row],[ESTIMATED WORK]]</f>
        <v>6750</v>
      </c>
      <c r="R28" s="13">
        <f>INDEX(tblParameters[],MATCH(tblDetails[[#This Row],[PROJECT TYPE]],tblParameters[PROJECT TYPE],0),MATCH(tblDetails[[#Headers],[GENERAL PARTNER]],tblParameters[#Headers],0))*INDEX('PROJECT PARAMETERS'!$B$14:$H$14,1,MATCH(tblDetails[[#Headers],[GENERAL PARTNER]],tblParameters[#Headers],0))*tblDetails[[#This Row],[ACTUAL WORK]]</f>
        <v>13300</v>
      </c>
      <c r="S28" s="13">
        <f>INDEX(tblParameters[],MATCH(tblDetails[[#This Row],[PROJECT TYPE]],tblParameters[PROJECT TYPE],0),MATCH(tblDetails[[#Headers],[BUSINESS LAWYER]],tblParameters[#Headers],0))*INDEX('PROJECT PARAMETERS'!$B$14:$H$14,1,MATCH(tblDetails[[#Headers],[BUSINESS LAWYER]],tblParameters[#Headers],0))*tblDetails[[#This Row],[ACTUAL WORK]]</f>
        <v>4750</v>
      </c>
      <c r="T28" s="13">
        <f>INDEX(tblParameters[],MATCH(tblDetails[[#This Row],[PROJECT TYPE]],tblParameters[PROJECT TYPE],0),MATCH(tblDetails[[#Headers],[DEFENSE LITIGATOR]],tblParameters[#Headers],0))*INDEX('PROJECT PARAMETERS'!$B$14:$H$14,1,MATCH(tblDetails[[#Headers],[DEFENSE LITIGATOR]],tblParameters[#Headers],0))*tblDetails[[#This Row],[ACTUAL WORK]]</f>
        <v>22800</v>
      </c>
      <c r="U28" s="13">
        <f>INDEX(tblParameters[],MATCH(tblDetails[[#This Row],[PROJECT TYPE]],tblParameters[PROJECT TYPE],0),MATCH(tblDetails[[#Headers],[INTELLECTUAL PROPERTY LAWYER]],tblParameters[#Headers],0))*INDEX('PROJECT PARAMETERS'!$B$14:$H$14,1,MATCH(tblDetails[[#Headers],[INTELLECTUAL PROPERTY LAWYER]],tblParameters[#Headers],0))*tblDetails[[#This Row],[ACTUAL WORK]]</f>
        <v>0</v>
      </c>
      <c r="V28" s="13">
        <f>INDEX(tblParameters[],MATCH(tblDetails[[#This Row],[PROJECT TYPE]],tblParameters[PROJECT TYPE],0),MATCH(tblDetails[[#Headers],[BANKRUPTCY LAWYER]],tblParameters[#Headers],0))*INDEX('PROJECT PARAMETERS'!$B$14:$H$14,1,MATCH(tblDetails[[#Headers],[BANKRUPTCY LAWYER]],tblParameters[#Headers],0))*tblDetails[[#This Row],[ACTUAL WORK]]</f>
        <v>0</v>
      </c>
      <c r="W28" s="13">
        <f>INDEX(tblParameters[],MATCH(tblDetails[[#This Row],[PROJECT TYPE]],tblParameters[PROJECT TYPE],0),MATCH(tblDetails[[#Headers],[ADMIN STAFF]],tblParameters[#Headers],0))*INDEX('PROJECT PARAMETERS'!$B$14:$H$14,1,MATCH(tblDetails[[#Headers],[ADMIN STAFF]],tblParameters[#Headers],0))*tblDetails[[#This Row],[ACTUAL WORK]]</f>
        <v>7125</v>
      </c>
    </row>
    <row r="29" spans="2:23" x14ac:dyDescent="0.2">
      <c r="B29" s="5" t="s">
        <v>26</v>
      </c>
      <c r="C29" s="5"/>
      <c r="D29" s="5"/>
      <c r="E29" s="5"/>
      <c r="F29" s="5"/>
      <c r="G29" s="5"/>
      <c r="H29" s="5">
        <f>SUBTOTAL(109,tblDetails[ESTIMATED WORK])</f>
        <v>7565</v>
      </c>
      <c r="I29" s="5">
        <f>SUBTOTAL(109,tblDetails[ACTUAL WORK])</f>
        <v>7610</v>
      </c>
      <c r="J29" s="5">
        <f>SUBTOTAL(109,tblDetails[ESTIMATED DURATION])</f>
        <v>1223</v>
      </c>
      <c r="K29" s="5">
        <f>SUBTOTAL(109,tblDetails[ACTUAL DURATION])</f>
        <v>1205</v>
      </c>
      <c r="L29" s="5"/>
      <c r="M29" s="5"/>
      <c r="N29" s="5"/>
      <c r="O29" s="5"/>
      <c r="P29" s="5"/>
      <c r="Q29" s="5"/>
      <c r="R29" s="5"/>
      <c r="S29" s="5"/>
      <c r="T29" s="5"/>
      <c r="U29" s="5"/>
      <c r="V29" s="5"/>
      <c r="W29" s="5"/>
    </row>
  </sheetData>
  <mergeCells count="2">
    <mergeCell ref="L5:Q5"/>
    <mergeCell ref="R5:W5"/>
  </mergeCells>
  <dataValidations count="1">
    <dataValidation type="list" allowBlank="1" showInputMessage="1" showErrorMessage="1" sqref="C7:C28">
      <formula1>ProjectType</formula1>
    </dataValidation>
  </dataValidations>
  <printOptions horizontalCentered="1"/>
  <pageMargins left="0.4" right="0.4" top="0.4" bottom="0.4" header="0.3" footer="0.3"/>
  <pageSetup scale="95" fitToHeight="0" orientation="landscape" horizontalDpi="4294967293" verticalDpi="0"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B1:N29"/>
  <sheetViews>
    <sheetView showGridLines="0" workbookViewId="0"/>
  </sheetViews>
  <sheetFormatPr defaultRowHeight="14.25" x14ac:dyDescent="0.2"/>
  <cols>
    <col min="1" max="1" width="1.85546875" style="1" customWidth="1"/>
    <col min="2" max="2" width="23.5703125" style="1" bestFit="1" customWidth="1"/>
    <col min="3" max="5" width="12" style="1" bestFit="1" customWidth="1"/>
    <col min="6" max="6" width="13.5703125" style="1" bestFit="1" customWidth="1"/>
    <col min="7" max="7" width="12.140625" style="1" bestFit="1" customWidth="1"/>
    <col min="8" max="8" width="12.42578125" style="1" bestFit="1" customWidth="1"/>
    <col min="9" max="11" width="12" style="1" bestFit="1" customWidth="1"/>
    <col min="12" max="12" width="12.140625" style="1" bestFit="1" customWidth="1"/>
    <col min="13" max="13" width="13.5703125" style="1" bestFit="1" customWidth="1"/>
    <col min="14" max="14" width="12.42578125" style="1" bestFit="1" customWidth="1"/>
    <col min="15" max="16384" width="9.140625" style="1"/>
  </cols>
  <sheetData>
    <row r="1" spans="2:14" ht="9.9499999999999993" customHeight="1" x14ac:dyDescent="0.2"/>
    <row r="2" spans="2:14" ht="25.5" x14ac:dyDescent="0.35">
      <c r="B2" s="2" t="str">
        <f>'PROJECT PARAMETERS'!B2</f>
        <v>[Company Name]</v>
      </c>
      <c r="C2" s="2"/>
      <c r="D2" s="2"/>
      <c r="E2" s="2"/>
      <c r="F2" s="2"/>
      <c r="G2" s="2"/>
      <c r="H2" s="2"/>
      <c r="I2" s="2"/>
      <c r="J2" s="2"/>
      <c r="K2" s="2"/>
      <c r="L2" s="2"/>
      <c r="M2" s="2"/>
      <c r="N2" s="2"/>
    </row>
    <row r="3" spans="2:14" ht="19.5" x14ac:dyDescent="0.25">
      <c r="B3" s="3" t="str">
        <f>'PROJECT PARAMETERS'!B3</f>
        <v>Project Planning for Law Firms</v>
      </c>
      <c r="C3" s="3"/>
      <c r="D3" s="3"/>
      <c r="E3" s="3"/>
      <c r="F3" s="3"/>
      <c r="G3" s="3"/>
      <c r="H3" s="3"/>
      <c r="I3" s="3"/>
      <c r="J3" s="3"/>
      <c r="K3" s="3"/>
    </row>
    <row r="4" spans="2:14" ht="15" x14ac:dyDescent="0.2">
      <c r="B4" s="4" t="str">
        <f>'PROJECT PARAMETERS'!B4</f>
        <v>Company Confidential</v>
      </c>
      <c r="C4" s="4"/>
      <c r="D4" s="4"/>
      <c r="E4" s="4"/>
      <c r="F4" s="4"/>
      <c r="G4" s="4"/>
      <c r="H4" s="4"/>
      <c r="I4" s="4"/>
      <c r="J4" s="4"/>
      <c r="K4" s="4"/>
    </row>
    <row r="5" spans="2:14" x14ac:dyDescent="0.2">
      <c r="C5" s="25" t="s">
        <v>74</v>
      </c>
      <c r="D5" s="26"/>
      <c r="E5" s="26"/>
      <c r="F5" s="26"/>
      <c r="G5" s="26"/>
      <c r="H5" s="27"/>
      <c r="I5" s="25" t="s">
        <v>75</v>
      </c>
      <c r="J5" s="26"/>
      <c r="K5" s="26"/>
      <c r="L5" s="26"/>
      <c r="M5" s="26"/>
      <c r="N5" s="27"/>
    </row>
    <row r="6" spans="2:14" s="16" customFormat="1" ht="25.5" x14ac:dyDescent="0.2">
      <c r="B6" s="20" t="s">
        <v>29</v>
      </c>
      <c r="C6" s="15" t="s">
        <v>57</v>
      </c>
      <c r="D6" s="15" t="s">
        <v>70</v>
      </c>
      <c r="E6" s="15" t="s">
        <v>58</v>
      </c>
      <c r="F6" s="15" t="s">
        <v>68</v>
      </c>
      <c r="G6" s="15" t="s">
        <v>69</v>
      </c>
      <c r="H6" s="15" t="s">
        <v>41</v>
      </c>
      <c r="I6" s="15" t="s">
        <v>64</v>
      </c>
      <c r="J6" s="15" t="s">
        <v>71</v>
      </c>
      <c r="K6" s="15" t="s">
        <v>65</v>
      </c>
      <c r="L6" s="15" t="s">
        <v>72</v>
      </c>
      <c r="M6" s="15" t="s">
        <v>66</v>
      </c>
      <c r="N6" s="15" t="s">
        <v>73</v>
      </c>
    </row>
    <row r="7" spans="2:14" x14ac:dyDescent="0.2">
      <c r="B7" t="s">
        <v>4</v>
      </c>
      <c r="C7" s="14">
        <v>7000</v>
      </c>
      <c r="D7" s="14">
        <v>20000</v>
      </c>
      <c r="E7" s="14">
        <v>0</v>
      </c>
      <c r="F7" s="14">
        <v>0</v>
      </c>
      <c r="G7" s="14">
        <v>0</v>
      </c>
      <c r="H7" s="14">
        <v>12500</v>
      </c>
      <c r="I7" s="14">
        <v>7700</v>
      </c>
      <c r="J7" s="14">
        <v>22000</v>
      </c>
      <c r="K7" s="14">
        <v>0</v>
      </c>
      <c r="L7" s="14">
        <v>0</v>
      </c>
      <c r="M7" s="14">
        <v>0</v>
      </c>
      <c r="N7" s="14">
        <v>13750</v>
      </c>
    </row>
    <row r="8" spans="2:14" x14ac:dyDescent="0.2">
      <c r="B8" t="s">
        <v>5</v>
      </c>
      <c r="C8" s="14">
        <v>14000</v>
      </c>
      <c r="D8" s="14">
        <v>40000</v>
      </c>
      <c r="E8" s="14">
        <v>0</v>
      </c>
      <c r="F8" s="14">
        <v>11000</v>
      </c>
      <c r="G8" s="14">
        <v>0</v>
      </c>
      <c r="H8" s="14">
        <v>20000</v>
      </c>
      <c r="I8" s="14">
        <v>13650</v>
      </c>
      <c r="J8" s="14">
        <v>39000</v>
      </c>
      <c r="K8" s="14">
        <v>0</v>
      </c>
      <c r="L8" s="14">
        <v>0</v>
      </c>
      <c r="M8" s="14">
        <v>10725</v>
      </c>
      <c r="N8" s="14">
        <v>19500</v>
      </c>
    </row>
    <row r="9" spans="2:14" x14ac:dyDescent="0.2">
      <c r="B9" t="s">
        <v>6</v>
      </c>
      <c r="C9" s="14">
        <v>35000</v>
      </c>
      <c r="D9" s="14">
        <v>0</v>
      </c>
      <c r="E9" s="14">
        <v>75000</v>
      </c>
      <c r="F9" s="14">
        <v>0</v>
      </c>
      <c r="G9" s="14">
        <v>0</v>
      </c>
      <c r="H9" s="14">
        <v>18750</v>
      </c>
      <c r="I9" s="14">
        <v>35000</v>
      </c>
      <c r="J9" s="14">
        <v>0</v>
      </c>
      <c r="K9" s="14">
        <v>75000</v>
      </c>
      <c r="L9" s="14">
        <v>0</v>
      </c>
      <c r="M9" s="14">
        <v>0</v>
      </c>
      <c r="N9" s="14">
        <v>18750</v>
      </c>
    </row>
    <row r="10" spans="2:14" x14ac:dyDescent="0.2">
      <c r="B10" t="s">
        <v>7</v>
      </c>
      <c r="C10" s="14">
        <v>5250</v>
      </c>
      <c r="D10" s="14">
        <v>0</v>
      </c>
      <c r="E10" s="14">
        <v>0</v>
      </c>
      <c r="F10" s="14">
        <v>24750</v>
      </c>
      <c r="G10" s="14">
        <v>0</v>
      </c>
      <c r="H10" s="14">
        <v>5625</v>
      </c>
      <c r="I10" s="14">
        <v>5075</v>
      </c>
      <c r="J10" s="14">
        <v>0</v>
      </c>
      <c r="K10" s="14">
        <v>0</v>
      </c>
      <c r="L10" s="14">
        <v>0</v>
      </c>
      <c r="M10" s="14">
        <v>23925</v>
      </c>
      <c r="N10" s="14">
        <v>5437.5</v>
      </c>
    </row>
    <row r="11" spans="2:14" x14ac:dyDescent="0.2">
      <c r="B11" t="s">
        <v>8</v>
      </c>
      <c r="C11" s="14">
        <v>17500</v>
      </c>
      <c r="D11" s="14">
        <v>6250</v>
      </c>
      <c r="E11" s="14">
        <v>30000</v>
      </c>
      <c r="F11" s="14">
        <v>0</v>
      </c>
      <c r="G11" s="14">
        <v>0</v>
      </c>
      <c r="H11" s="14">
        <v>9375</v>
      </c>
      <c r="I11" s="14">
        <v>17850</v>
      </c>
      <c r="J11" s="14">
        <v>6375</v>
      </c>
      <c r="K11" s="14">
        <v>30600</v>
      </c>
      <c r="L11" s="14">
        <v>0</v>
      </c>
      <c r="M11" s="14">
        <v>0</v>
      </c>
      <c r="N11" s="14">
        <v>9562.5</v>
      </c>
    </row>
    <row r="12" spans="2:14" x14ac:dyDescent="0.2">
      <c r="B12" t="s">
        <v>9</v>
      </c>
      <c r="C12" s="14">
        <v>10500</v>
      </c>
      <c r="D12" s="14">
        <v>15000</v>
      </c>
      <c r="E12" s="14">
        <v>0</v>
      </c>
      <c r="F12" s="14">
        <v>0</v>
      </c>
      <c r="G12" s="14">
        <v>27000</v>
      </c>
      <c r="H12" s="14">
        <v>11250</v>
      </c>
      <c r="I12" s="14">
        <v>10850</v>
      </c>
      <c r="J12" s="14">
        <v>15500</v>
      </c>
      <c r="K12" s="14">
        <v>0</v>
      </c>
      <c r="L12" s="14">
        <v>27900</v>
      </c>
      <c r="M12" s="14">
        <v>0</v>
      </c>
      <c r="N12" s="14">
        <v>11625</v>
      </c>
    </row>
    <row r="13" spans="2:14" x14ac:dyDescent="0.2">
      <c r="B13" t="s">
        <v>10</v>
      </c>
      <c r="C13" s="14">
        <v>17500</v>
      </c>
      <c r="D13" s="14">
        <v>50000</v>
      </c>
      <c r="E13" s="14">
        <v>0</v>
      </c>
      <c r="F13" s="14">
        <v>0</v>
      </c>
      <c r="G13" s="14">
        <v>0</v>
      </c>
      <c r="H13" s="14">
        <v>31250</v>
      </c>
      <c r="I13" s="14">
        <v>17850</v>
      </c>
      <c r="J13" s="14">
        <v>51000</v>
      </c>
      <c r="K13" s="14">
        <v>0</v>
      </c>
      <c r="L13" s="14">
        <v>0</v>
      </c>
      <c r="M13" s="14">
        <v>0</v>
      </c>
      <c r="N13" s="14">
        <v>31875</v>
      </c>
    </row>
    <row r="14" spans="2:14" x14ac:dyDescent="0.2">
      <c r="B14" t="s">
        <v>12</v>
      </c>
      <c r="C14" s="14">
        <v>15750</v>
      </c>
      <c r="D14" s="14">
        <v>0</v>
      </c>
      <c r="E14" s="14">
        <v>0</v>
      </c>
      <c r="F14" s="14">
        <v>74250</v>
      </c>
      <c r="G14" s="14">
        <v>0</v>
      </c>
      <c r="H14" s="14">
        <v>16875</v>
      </c>
      <c r="I14" s="14">
        <v>15050</v>
      </c>
      <c r="J14" s="14">
        <v>0</v>
      </c>
      <c r="K14" s="14">
        <v>0</v>
      </c>
      <c r="L14" s="14">
        <v>0</v>
      </c>
      <c r="M14" s="14">
        <v>70950</v>
      </c>
      <c r="N14" s="14">
        <v>16125</v>
      </c>
    </row>
    <row r="15" spans="2:14" x14ac:dyDescent="0.2">
      <c r="B15" t="s">
        <v>11</v>
      </c>
      <c r="C15" s="14">
        <v>52500</v>
      </c>
      <c r="D15" s="14">
        <v>0</v>
      </c>
      <c r="E15" s="14">
        <v>112500</v>
      </c>
      <c r="F15" s="14">
        <v>0</v>
      </c>
      <c r="G15" s="14">
        <v>0</v>
      </c>
      <c r="H15" s="14">
        <v>28125</v>
      </c>
      <c r="I15" s="14">
        <v>55300</v>
      </c>
      <c r="J15" s="14">
        <v>0</v>
      </c>
      <c r="K15" s="14">
        <v>118500</v>
      </c>
      <c r="L15" s="14">
        <v>0</v>
      </c>
      <c r="M15" s="14">
        <v>0</v>
      </c>
      <c r="N15" s="14">
        <v>29625</v>
      </c>
    </row>
    <row r="16" spans="2:14" x14ac:dyDescent="0.2">
      <c r="B16" t="s">
        <v>15</v>
      </c>
      <c r="C16" s="14">
        <v>6300</v>
      </c>
      <c r="D16" s="14">
        <v>9000</v>
      </c>
      <c r="E16" s="14">
        <v>0</v>
      </c>
      <c r="F16" s="14">
        <v>0</v>
      </c>
      <c r="G16" s="14">
        <v>16200</v>
      </c>
      <c r="H16" s="14">
        <v>6750</v>
      </c>
      <c r="I16" s="14">
        <v>6650</v>
      </c>
      <c r="J16" s="14">
        <v>9500</v>
      </c>
      <c r="K16" s="14">
        <v>0</v>
      </c>
      <c r="L16" s="14">
        <v>17100</v>
      </c>
      <c r="M16" s="14">
        <v>0</v>
      </c>
      <c r="N16" s="14">
        <v>7125</v>
      </c>
    </row>
    <row r="17" spans="2:14" x14ac:dyDescent="0.2">
      <c r="B17" t="s">
        <v>14</v>
      </c>
      <c r="C17" s="14">
        <v>7000</v>
      </c>
      <c r="D17" s="14">
        <v>20000</v>
      </c>
      <c r="E17" s="14">
        <v>0</v>
      </c>
      <c r="F17" s="14">
        <v>5500</v>
      </c>
      <c r="G17" s="14">
        <v>0</v>
      </c>
      <c r="H17" s="14">
        <v>10000</v>
      </c>
      <c r="I17" s="14">
        <v>8225</v>
      </c>
      <c r="J17" s="14">
        <v>23500</v>
      </c>
      <c r="K17" s="14">
        <v>0</v>
      </c>
      <c r="L17" s="14">
        <v>0</v>
      </c>
      <c r="M17" s="14">
        <v>6462.5</v>
      </c>
      <c r="N17" s="14">
        <v>11750</v>
      </c>
    </row>
    <row r="18" spans="2:14" x14ac:dyDescent="0.2">
      <c r="B18" t="s">
        <v>13</v>
      </c>
      <c r="C18" s="14">
        <v>8750</v>
      </c>
      <c r="D18" s="14">
        <v>12500</v>
      </c>
      <c r="E18" s="14">
        <v>0</v>
      </c>
      <c r="F18" s="14">
        <v>0</v>
      </c>
      <c r="G18" s="14">
        <v>22500</v>
      </c>
      <c r="H18" s="14">
        <v>9375</v>
      </c>
      <c r="I18" s="14">
        <v>8225</v>
      </c>
      <c r="J18" s="14">
        <v>11750</v>
      </c>
      <c r="K18" s="14">
        <v>0</v>
      </c>
      <c r="L18" s="14">
        <v>21150</v>
      </c>
      <c r="M18" s="14">
        <v>0</v>
      </c>
      <c r="N18" s="14">
        <v>8812.5</v>
      </c>
    </row>
    <row r="19" spans="2:14" x14ac:dyDescent="0.2">
      <c r="B19" t="s">
        <v>16</v>
      </c>
      <c r="C19" s="14">
        <v>8750</v>
      </c>
      <c r="D19" s="14">
        <v>0</v>
      </c>
      <c r="E19" s="14">
        <v>0</v>
      </c>
      <c r="F19" s="14">
        <v>41250</v>
      </c>
      <c r="G19" s="14">
        <v>0</v>
      </c>
      <c r="H19" s="14">
        <v>9375</v>
      </c>
      <c r="I19" s="14">
        <v>8050</v>
      </c>
      <c r="J19" s="14">
        <v>0</v>
      </c>
      <c r="K19" s="14">
        <v>0</v>
      </c>
      <c r="L19" s="14">
        <v>0</v>
      </c>
      <c r="M19" s="14">
        <v>37950</v>
      </c>
      <c r="N19" s="14">
        <v>8625</v>
      </c>
    </row>
    <row r="20" spans="2:14" x14ac:dyDescent="0.2">
      <c r="B20" t="s">
        <v>17</v>
      </c>
      <c r="C20" s="14">
        <v>16800</v>
      </c>
      <c r="D20" s="14">
        <v>0</v>
      </c>
      <c r="E20" s="14">
        <v>36000</v>
      </c>
      <c r="F20" s="14">
        <v>0</v>
      </c>
      <c r="G20" s="14">
        <v>0</v>
      </c>
      <c r="H20" s="14">
        <v>9000</v>
      </c>
      <c r="I20" s="14">
        <v>15750</v>
      </c>
      <c r="J20" s="14">
        <v>0</v>
      </c>
      <c r="K20" s="14">
        <v>33750</v>
      </c>
      <c r="L20" s="14">
        <v>0</v>
      </c>
      <c r="M20" s="14">
        <v>0</v>
      </c>
      <c r="N20" s="14">
        <v>8437.5</v>
      </c>
    </row>
    <row r="21" spans="2:14" x14ac:dyDescent="0.2">
      <c r="B21" t="s">
        <v>18</v>
      </c>
      <c r="C21" s="14">
        <v>11200</v>
      </c>
      <c r="D21" s="14">
        <v>0</v>
      </c>
      <c r="E21" s="14">
        <v>0</v>
      </c>
      <c r="F21" s="14">
        <v>52800</v>
      </c>
      <c r="G21" s="14">
        <v>0</v>
      </c>
      <c r="H21" s="14">
        <v>12000</v>
      </c>
      <c r="I21" s="14">
        <v>10675</v>
      </c>
      <c r="J21" s="14">
        <v>0</v>
      </c>
      <c r="K21" s="14">
        <v>0</v>
      </c>
      <c r="L21" s="14">
        <v>0</v>
      </c>
      <c r="M21" s="14">
        <v>50325</v>
      </c>
      <c r="N21" s="14">
        <v>11437.5</v>
      </c>
    </row>
    <row r="22" spans="2:14" x14ac:dyDescent="0.2">
      <c r="B22" t="s">
        <v>19</v>
      </c>
      <c r="C22" s="14">
        <v>19250</v>
      </c>
      <c r="D22" s="14">
        <v>55000</v>
      </c>
      <c r="E22" s="14">
        <v>0</v>
      </c>
      <c r="F22" s="14">
        <v>15125</v>
      </c>
      <c r="G22" s="14">
        <v>0</v>
      </c>
      <c r="H22" s="14">
        <v>27500</v>
      </c>
      <c r="I22" s="14">
        <v>19775</v>
      </c>
      <c r="J22" s="14">
        <v>56500</v>
      </c>
      <c r="K22" s="14">
        <v>0</v>
      </c>
      <c r="L22" s="14">
        <v>0</v>
      </c>
      <c r="M22" s="14">
        <v>15537.5</v>
      </c>
      <c r="N22" s="14">
        <v>28250</v>
      </c>
    </row>
    <row r="23" spans="2:14" x14ac:dyDescent="0.2">
      <c r="B23" t="s">
        <v>20</v>
      </c>
      <c r="C23" s="14">
        <v>12250</v>
      </c>
      <c r="D23" s="14">
        <v>17500</v>
      </c>
      <c r="E23" s="14">
        <v>0</v>
      </c>
      <c r="F23" s="14">
        <v>0</v>
      </c>
      <c r="G23" s="14">
        <v>31500</v>
      </c>
      <c r="H23" s="14">
        <v>13125</v>
      </c>
      <c r="I23" s="14">
        <v>12250</v>
      </c>
      <c r="J23" s="14">
        <v>17500</v>
      </c>
      <c r="K23" s="14">
        <v>0</v>
      </c>
      <c r="L23" s="14">
        <v>31500</v>
      </c>
      <c r="M23" s="14">
        <v>0</v>
      </c>
      <c r="N23" s="14">
        <v>13125</v>
      </c>
    </row>
    <row r="24" spans="2:14" x14ac:dyDescent="0.2">
      <c r="B24" t="s">
        <v>21</v>
      </c>
      <c r="C24" s="14">
        <v>7000</v>
      </c>
      <c r="D24" s="14">
        <v>20000</v>
      </c>
      <c r="E24" s="14">
        <v>0</v>
      </c>
      <c r="F24" s="14">
        <v>0</v>
      </c>
      <c r="G24" s="14">
        <v>0</v>
      </c>
      <c r="H24" s="14">
        <v>12500</v>
      </c>
      <c r="I24" s="14">
        <v>7175</v>
      </c>
      <c r="J24" s="14">
        <v>20500</v>
      </c>
      <c r="K24" s="14">
        <v>0</v>
      </c>
      <c r="L24" s="14">
        <v>0</v>
      </c>
      <c r="M24" s="14">
        <v>0</v>
      </c>
      <c r="N24" s="14">
        <v>12812.5</v>
      </c>
    </row>
    <row r="25" spans="2:14" x14ac:dyDescent="0.2">
      <c r="B25" t="s">
        <v>22</v>
      </c>
      <c r="C25" s="14">
        <v>15400</v>
      </c>
      <c r="D25" s="14">
        <v>5500</v>
      </c>
      <c r="E25" s="14">
        <v>26400</v>
      </c>
      <c r="F25" s="14">
        <v>0</v>
      </c>
      <c r="G25" s="14">
        <v>0</v>
      </c>
      <c r="H25" s="14">
        <v>8250</v>
      </c>
      <c r="I25" s="14">
        <v>16100</v>
      </c>
      <c r="J25" s="14">
        <v>5750</v>
      </c>
      <c r="K25" s="14">
        <v>27600</v>
      </c>
      <c r="L25" s="14">
        <v>0</v>
      </c>
      <c r="M25" s="14">
        <v>0</v>
      </c>
      <c r="N25" s="14">
        <v>8625</v>
      </c>
    </row>
    <row r="26" spans="2:14" x14ac:dyDescent="0.2">
      <c r="B26" t="s">
        <v>23</v>
      </c>
      <c r="C26" s="14">
        <v>21000</v>
      </c>
      <c r="D26" s="14">
        <v>30000</v>
      </c>
      <c r="E26" s="14">
        <v>0</v>
      </c>
      <c r="F26" s="14">
        <v>0</v>
      </c>
      <c r="G26" s="14">
        <v>54000</v>
      </c>
      <c r="H26" s="14">
        <v>22500</v>
      </c>
      <c r="I26" s="14">
        <v>19600</v>
      </c>
      <c r="J26" s="14">
        <v>28000</v>
      </c>
      <c r="K26" s="14">
        <v>0</v>
      </c>
      <c r="L26" s="14">
        <v>50400</v>
      </c>
      <c r="M26" s="14">
        <v>0</v>
      </c>
      <c r="N26" s="14">
        <v>21000</v>
      </c>
    </row>
    <row r="27" spans="2:14" x14ac:dyDescent="0.2">
      <c r="B27" t="s">
        <v>24</v>
      </c>
      <c r="C27" s="14">
        <v>18375</v>
      </c>
      <c r="D27" s="14">
        <v>0</v>
      </c>
      <c r="E27" s="14">
        <v>0</v>
      </c>
      <c r="F27" s="14">
        <v>86625</v>
      </c>
      <c r="G27" s="14">
        <v>0</v>
      </c>
      <c r="H27" s="14">
        <v>19687.5</v>
      </c>
      <c r="I27" s="14">
        <v>18900</v>
      </c>
      <c r="J27" s="14">
        <v>0</v>
      </c>
      <c r="K27" s="14">
        <v>0</v>
      </c>
      <c r="L27" s="14">
        <v>0</v>
      </c>
      <c r="M27" s="14">
        <v>89100</v>
      </c>
      <c r="N27" s="14">
        <v>20250</v>
      </c>
    </row>
    <row r="28" spans="2:14" x14ac:dyDescent="0.2">
      <c r="B28" t="s">
        <v>25</v>
      </c>
      <c r="C28" s="14">
        <v>12600</v>
      </c>
      <c r="D28" s="14">
        <v>4500</v>
      </c>
      <c r="E28" s="14">
        <v>21600</v>
      </c>
      <c r="F28" s="14">
        <v>0</v>
      </c>
      <c r="G28" s="14">
        <v>0</v>
      </c>
      <c r="H28" s="14">
        <v>6750</v>
      </c>
      <c r="I28" s="14">
        <v>13300</v>
      </c>
      <c r="J28" s="14">
        <v>4750</v>
      </c>
      <c r="K28" s="14">
        <v>22800</v>
      </c>
      <c r="L28" s="14">
        <v>0</v>
      </c>
      <c r="M28" s="14">
        <v>0</v>
      </c>
      <c r="N28" s="14">
        <v>7125</v>
      </c>
    </row>
    <row r="29" spans="2:14" x14ac:dyDescent="0.2">
      <c r="B29" t="s">
        <v>37</v>
      </c>
      <c r="C29" s="14">
        <v>339675</v>
      </c>
      <c r="D29" s="14">
        <v>305250</v>
      </c>
      <c r="E29" s="14">
        <v>301500</v>
      </c>
      <c r="F29" s="14">
        <v>311300</v>
      </c>
      <c r="G29" s="14">
        <v>151200</v>
      </c>
      <c r="H29" s="14">
        <v>320562.5</v>
      </c>
      <c r="I29" s="14">
        <v>343000</v>
      </c>
      <c r="J29" s="14">
        <v>311625</v>
      </c>
      <c r="K29" s="14">
        <v>308250</v>
      </c>
      <c r="L29" s="14">
        <v>148050</v>
      </c>
      <c r="M29" s="14">
        <v>304975</v>
      </c>
      <c r="N29" s="14">
        <v>323625</v>
      </c>
    </row>
  </sheetData>
  <mergeCells count="2">
    <mergeCell ref="I5:N5"/>
    <mergeCell ref="C5:H5"/>
  </mergeCells>
  <printOptions horizontalCentered="1"/>
  <pageMargins left="0.4" right="0.4" top="0.4" bottom="0.4" header="0.3" footer="0.3"/>
  <pageSetup scale="78" fitToHeight="0" orientation="landscape" horizontalDpi="4294967293" r:id="rId2"/>
  <headerFooter differentFirst="1">
    <oddFooter>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07AA93F-1A24-4864-B6A2-CF4F066554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PARAMETERS</vt:lpstr>
      <vt:lpstr>PROJECT DETAILS</vt:lpstr>
      <vt:lpstr>PROJECT TOTALS</vt:lpstr>
      <vt:lpstr>'PROJECT DETAILS'!Print_Titles</vt:lpstr>
      <vt:lpstr>'PROJECT TOTALS'!Print_Titles</vt:lpstr>
      <vt:lpstr>ProjectType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2014-10-26T17:11:00Z</dcterms:created>
  <dcterms:modified xsi:type="dcterms:W3CDTF">2014-10-26T17:11:00Z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TC040991069991</vt:lpwstr>
  </property>
</Properties>
</file>